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nwonl-my.sharepoint.com/personal/a_feldheim_nwo_nl/Documents/Bureaublad/"/>
    </mc:Choice>
  </mc:AlternateContent>
  <xr:revisionPtr revIDLastSave="32" documentId="13_ncr:1_{3CC31CF1-0980-4493-9B3F-8E87BD94AAB1}" xr6:coauthVersionLast="47" xr6:coauthVersionMax="47" xr10:uidLastSave="{1D052A70-83F6-4F0E-B2D8-130E3CACECF8}"/>
  <workbookProtection workbookAlgorithmName="SHA-512" workbookHashValue="mSshjsih8O+K2BWg4Xy29C0D0xhCgwd8qIA5Nrum2WGpVYS9TWvsxz2M4MqUJZfeoZgwddmrB4ozudkTe5j3Qw==" workbookSaltValue="ZzSMuyLSGelKjDCrJU7Bzw==" workbookSpinCount="100000" lockStructure="1"/>
  <bookViews>
    <workbookView xWindow="28680" yWindow="-120" windowWidth="29040" windowHeight="15720" firstSheet="1" activeTab="1" xr2:uid="{00000000-000D-0000-FFFF-FFFF00000000}"/>
  </bookViews>
  <sheets>
    <sheet name="Summary" sheetId="5" state="hidden" r:id="rId1"/>
    <sheet name="Budget" sheetId="1" r:id="rId2"/>
    <sheet name="parameters" sheetId="3" state="hidden" r:id="rId3"/>
    <sheet name="checks" sheetId="4" state="hidden" r:id="rId4"/>
  </sheets>
  <definedNames>
    <definedName name="_xlnm.Print_Area" localSheetId="1">Budget!$A:$H</definedName>
    <definedName name="benchfee_amount">parameters!$B$31</definedName>
    <definedName name="callnaam">Budget!$A$1</definedName>
    <definedName name="cash_cofunding_minperc">parameters!$B$76</definedName>
    <definedName name="cash_invoice">parameters!$B$81</definedName>
    <definedName name="categories_pers_ac">salaries_academic[category]</definedName>
    <definedName name="CfP_tariffs_other_inst">parameters!$B$34</definedName>
    <definedName name="cofunding_inkind_def_rates">parameters!$B$78</definedName>
    <definedName name="cofunding_junior_rate">parameters!$B$79</definedName>
    <definedName name="cofunding_max_perc">parameters!$B$75</definedName>
    <definedName name="cofunding_min_perc">parameters!$B$74</definedName>
    <definedName name="cofunding_perc">Budget!#REF!</definedName>
    <definedName name="cofunding_private_minperc">parameters!$B$77</definedName>
    <definedName name="cofunding_senior_rate">parameters!$B$80</definedName>
    <definedName name="cofunding_threshold">parameters!$B$73</definedName>
    <definedName name="date">Budget!$B$2</definedName>
    <definedName name="empty_lines">parameters!$B$12</definedName>
    <definedName name="enddate">Budget!$D$7</definedName>
    <definedName name="file_creation_date">parameters!$B$3</definedName>
    <definedName name="File_number">Budget!$B$6</definedName>
    <definedName name="footer_MFC">Budget!$A$87:$H$88</definedName>
    <definedName name="FTE_year_PhD_PD">checks!$F$112</definedName>
    <definedName name="header_MfC">Budget!#REF!</definedName>
    <definedName name="HOT_rate_type">parameters!$B$33</definedName>
    <definedName name="HOT_rates">parameters!$B$32</definedName>
    <definedName name="Int_maxamount">parameters!$B$63</definedName>
    <definedName name="Int_maxamount_perc">parameters!$B$64</definedName>
    <definedName name="Int_MfC_maxamount">parameters!$B$61</definedName>
    <definedName name="Int_MfC_maxperc">parameters!$B$62</definedName>
    <definedName name="inv_max_total_amount">parameters!$B$51</definedName>
    <definedName name="inv_min_perc_own_contr">parameters!$B$49</definedName>
    <definedName name="inv_min_total_amount">parameters!$B$50</definedName>
    <definedName name="inv_own_contribution">parameters!$B$47</definedName>
    <definedName name="KU_entrepeneurship_max_amount">parameters!$B$55</definedName>
    <definedName name="KU_entrepeneurship_minperc">parameters!$B$54</definedName>
    <definedName name="KU_max_amount">parameters!$B$56</definedName>
    <definedName name="KU_maxperc">parameters!$B$58</definedName>
    <definedName name="KU_minperc">parameters!$B$57</definedName>
    <definedName name="list_ac_other_combined">parameters!$E$299:$E$306</definedName>
    <definedName name="list_academic_personnel">parameters!$A$299:$A$308</definedName>
    <definedName name="list_kind_cash_cofunding">parameters!$G$299:$G$316</definedName>
    <definedName name="list_personnel_other_inst">parameters!$C$299:$C$306</definedName>
    <definedName name="Main_applicant">Budget!$E$2</definedName>
    <definedName name="main_applicant_organisation">Budget!$B$3</definedName>
    <definedName name="main_applicant_type_organisation">Budget!$B$4</definedName>
    <definedName name="mat_cleanroom_maxamount">parameters!$B$44</definedName>
    <definedName name="mat_cleanroom_minamount">parameters!$B$43</definedName>
    <definedName name="mat_costs_accountant">parameters!$B$42</definedName>
    <definedName name="Mat_max_FTE_year">parameters!$B$38</definedName>
    <definedName name="Mat_max_FTE_year_other_inst">parameters!$B$41</definedName>
    <definedName name="Max_mat_FTE_year">parameters!$B$38</definedName>
    <definedName name="Max_NWO_funding">parameters!$B$8</definedName>
    <definedName name="max_NWO_funding_with_inv_nature">parameters!$B$7</definedName>
    <definedName name="max_NWO_funding_wo_inv_nature">parameters!$B$6</definedName>
    <definedName name="Max_project_duration">parameters!$B$9</definedName>
    <definedName name="MfC_maxamount">parameters!$B$65</definedName>
    <definedName name="MfC_maxperc">parameters!$B$66</definedName>
    <definedName name="Min_NWO_funding">parameters!$B$4</definedName>
    <definedName name="NFU_rates">parameters!$B$16</definedName>
    <definedName name="notes">Budget!$I$1</definedName>
    <definedName name="organisation_name">parameters!$B$11</definedName>
    <definedName name="organisation_type">parameters!$B$10</definedName>
    <definedName name="pers_3yPhD_min_months">parameters!$B$19</definedName>
    <definedName name="pers_leave_maxduration">parameters!$B$30</definedName>
    <definedName name="pers_leave_maxperc">parameters!$B$29</definedName>
    <definedName name="pers_max_NSP">parameters!$B$23</definedName>
    <definedName name="pers_max_OSP">parameters!$B$26</definedName>
    <definedName name="pers_NSP_max_months">parameters!$B$25</definedName>
    <definedName name="pers_NSP_min_months">parameters!$B$24</definedName>
    <definedName name="pers_oi_min_months">parameters!$B$39</definedName>
    <definedName name="pers_oi_minFTE">parameters!$B$40</definedName>
    <definedName name="pers_OSP_max_months">parameters!$B$28</definedName>
    <definedName name="pers_OSP_min_months">parameters!$B$27</definedName>
    <definedName name="pers_other_nrhours_year">parameters!$B$35</definedName>
    <definedName name="pers_other_years_materials">checks!$I$112</definedName>
    <definedName name="pers_PD_max_months">parameters!$B$22</definedName>
    <definedName name="pers_PD_min_months">parameters!$B$21</definedName>
    <definedName name="pers_PDEng_max_months">parameters!$B$20</definedName>
    <definedName name="pers_PhD_max_months">parameters!$B$18</definedName>
    <definedName name="pers_PhD_min_months">parameters!$B$17</definedName>
    <definedName name="prog_mngmt_max_amount_perc">parameters!$B$69</definedName>
    <definedName name="prog_mngmt_threshold_amount">parameters!$B$70</definedName>
    <definedName name="project_duration">Budget!$B$8</definedName>
    <definedName name="Project_title">Budget!$B$5</definedName>
    <definedName name="Research_leave_FTE_months">checks!$O$112</definedName>
    <definedName name="row_cofunding">Summary!$G$37</definedName>
    <definedName name="startdate">Budget!$B$7</definedName>
    <definedName name="threshold_inv_nature">parameters!$B$5</definedName>
    <definedName name="threshold_own_contribution">parameters!$B$48</definedName>
    <definedName name="Total_benchfee">0</definedName>
    <definedName name="Total_cash">Total_invest_by_KI+Total_cofunding_incash+Total_projectfee+Total_TKI_PPS_allowance</definedName>
    <definedName name="Total_cash_via_NWO">Summary!$C$31</definedName>
    <definedName name="Total_cleanroom">0</definedName>
    <definedName name="Total_cofunding">0</definedName>
    <definedName name="Total_cofunding_incash">0</definedName>
    <definedName name="Total_cofunding_inkind">0</definedName>
    <definedName name="Total_entrepeneurship">0</definedName>
    <definedName name="Total_Fin_NWO">Summary!$B$17</definedName>
    <definedName name="Total_goods_services">goods_services[[#Totals],[Amount]]</definedName>
    <definedName name="Total_implementation">implementation[[#Totals],[Amount]]</definedName>
    <definedName name="Total_incash_cofunding">0</definedName>
    <definedName name="Total_internationalisation">0</definedName>
    <definedName name="Total_invest_by_KI">0</definedName>
    <definedName name="Total_investments">0</definedName>
    <definedName name="Total_investments_large">0</definedName>
    <definedName name="Total_investments_small">0</definedName>
    <definedName name="Total_Knowledge_utilisation">0</definedName>
    <definedName name="Total_KU_and_entrepeneurship">0</definedName>
    <definedName name="Total_material_costs">Budget!$H$84</definedName>
    <definedName name="Total_MfC">Budget!$H$87</definedName>
    <definedName name="Total_MfC_materials">0</definedName>
    <definedName name="Total_MfC_pers_ac_inst">0</definedName>
    <definedName name="Total_NSP">checks!$L$112</definedName>
    <definedName name="Total_NWO_funding">Budget!$H$11</definedName>
    <definedName name="Total_OSP">checks!$C$112</definedName>
    <definedName name="Total_other_inst_2021">pers_other_inst_2021[[#Totals],[Amount]]</definedName>
    <definedName name="Total_personnel_ac_institutes">0</definedName>
    <definedName name="Total_personnel_costs">Budget!$H$37</definedName>
    <definedName name="Total_personnel_other">0</definedName>
    <definedName name="total_private_cof">checks!$X$113</definedName>
    <definedName name="total_private_cof_incash">0</definedName>
    <definedName name="total_private_cof_inkind">checks!$X$112</definedName>
    <definedName name="Total_project_budget">Budget!#REF!</definedName>
    <definedName name="Total_project_mngmnt">0</definedName>
    <definedName name="Total_projectfee">0</definedName>
    <definedName name="Total_resources">Summary!$B$20</definedName>
    <definedName name="Total_TKI_PPS_allowance">0</definedName>
    <definedName name="Total_travel_acc">travel_acc[[#Totals],[Amount]]</definedName>
    <definedName name="VSNU_rates">parameters!$B$15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4" l="1"/>
  <c r="Q12" i="4" s="1"/>
  <c r="Q13" i="4" s="1"/>
  <c r="Q14" i="4" s="1"/>
  <c r="Q15" i="4" s="1"/>
  <c r="Q16" i="4" s="1"/>
  <c r="Q17" i="4" s="1"/>
  <c r="Q18" i="4" s="1"/>
  <c r="Q19" i="4" s="1"/>
  <c r="Q20" i="4" s="1"/>
  <c r="Q21" i="4" s="1"/>
  <c r="Q22" i="4" s="1"/>
  <c r="Q23" i="4" s="1"/>
  <c r="Q24" i="4" s="1"/>
  <c r="Q25" i="4" s="1"/>
  <c r="Q26" i="4" s="1"/>
  <c r="Q27" i="4" s="1"/>
  <c r="Q28" i="4" s="1"/>
  <c r="Q29" i="4" s="1"/>
  <c r="Q30" i="4" s="1"/>
  <c r="Q31" i="4" s="1"/>
  <c r="Q32" i="4" s="1"/>
  <c r="Q33" i="4" s="1"/>
  <c r="Q34" i="4" s="1"/>
  <c r="Q35" i="4" s="1"/>
  <c r="Q36" i="4" s="1"/>
  <c r="Q37" i="4" s="1"/>
  <c r="Q38" i="4" s="1"/>
  <c r="Q39" i="4" s="1"/>
  <c r="Q40" i="4" s="1"/>
  <c r="Q41" i="4" s="1"/>
  <c r="Q42" i="4" s="1"/>
  <c r="Q43" i="4" s="1"/>
  <c r="Q44" i="4" s="1"/>
  <c r="Q45" i="4" s="1"/>
  <c r="Q46" i="4" s="1"/>
  <c r="Q47" i="4" s="1"/>
  <c r="Q48" i="4" s="1"/>
  <c r="Q49" i="4" s="1"/>
  <c r="Q50" i="4" s="1"/>
  <c r="Q51" i="4" s="1"/>
  <c r="Q52" i="4" s="1"/>
  <c r="Q53" i="4" s="1"/>
  <c r="Q54" i="4" s="1"/>
  <c r="Q55" i="4" s="1"/>
  <c r="Q56" i="4" s="1"/>
  <c r="Q57" i="4" s="1"/>
  <c r="Q58" i="4" s="1"/>
  <c r="Q59" i="4" s="1"/>
  <c r="Q60" i="4" s="1"/>
  <c r="Q61" i="4" s="1"/>
  <c r="Q62" i="4" s="1"/>
  <c r="Q63" i="4" s="1"/>
  <c r="Q64" i="4" s="1"/>
  <c r="Q65" i="4" s="1"/>
  <c r="Q66" i="4" s="1"/>
  <c r="Q67" i="4" s="1"/>
  <c r="Q68" i="4" s="1"/>
  <c r="Q69" i="4" s="1"/>
  <c r="Q70" i="4" s="1"/>
  <c r="Q71" i="4" s="1"/>
  <c r="Q72" i="4" s="1"/>
  <c r="Q73" i="4" s="1"/>
  <c r="Q74" i="4" s="1"/>
  <c r="Q75" i="4" s="1"/>
  <c r="Q76" i="4" s="1"/>
  <c r="Q77" i="4" s="1"/>
  <c r="Q78" i="4" s="1"/>
  <c r="Q79" i="4" s="1"/>
  <c r="Q80" i="4" s="1"/>
  <c r="Q81" i="4" s="1"/>
  <c r="Q82" i="4" s="1"/>
  <c r="Q83" i="4" s="1"/>
  <c r="Q84" i="4" s="1"/>
  <c r="Q85" i="4" s="1"/>
  <c r="Q86" i="4" s="1"/>
  <c r="Q87" i="4" s="1"/>
  <c r="Q88" i="4" s="1"/>
  <c r="Q89" i="4" s="1"/>
  <c r="Q90" i="4" s="1"/>
  <c r="Q91" i="4" s="1"/>
  <c r="Q92" i="4" s="1"/>
  <c r="Q93" i="4" s="1"/>
  <c r="Q94" i="4" s="1"/>
  <c r="Q95" i="4" s="1"/>
  <c r="Q96" i="4" s="1"/>
  <c r="Q97" i="4" s="1"/>
  <c r="Q98" i="4" s="1"/>
  <c r="Q99" i="4" s="1"/>
  <c r="Q100" i="4" s="1"/>
  <c r="Q101" i="4" s="1"/>
  <c r="Q102" i="4" s="1"/>
  <c r="Q103" i="4" s="1"/>
  <c r="Q104" i="4" s="1"/>
  <c r="Q105" i="4" s="1"/>
  <c r="Q106" i="4" s="1"/>
  <c r="Q107" i="4" s="1"/>
  <c r="Q108" i="4" s="1"/>
  <c r="Q109" i="4" s="1"/>
  <c r="Q110" i="4" s="1"/>
  <c r="B130" i="4" l="1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B129" i="4"/>
  <c r="D198" i="4"/>
  <c r="E198" i="4"/>
  <c r="B147" i="4" l="1"/>
  <c r="B146" i="4"/>
  <c r="G623" i="4" l="1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F623" i="4"/>
  <c r="F624" i="4"/>
  <c r="F626" i="4"/>
  <c r="F627" i="4"/>
  <c r="F628" i="4"/>
  <c r="F629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B185" i="4"/>
  <c r="B183" i="4"/>
  <c r="B186" i="4"/>
  <c r="F625" i="4" s="1"/>
  <c r="B187" i="4"/>
  <c r="F630" i="4" s="1"/>
  <c r="C623" i="4" l="1"/>
  <c r="C624" i="4"/>
  <c r="C626" i="4"/>
  <c r="C627" i="4"/>
  <c r="C628" i="4"/>
  <c r="C629" i="4"/>
  <c r="C631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614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D520" i="4" l="1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C520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5" i="4"/>
  <c r="C616" i="4"/>
  <c r="C617" i="4"/>
  <c r="C618" i="4"/>
  <c r="C619" i="4"/>
  <c r="C312" i="4"/>
  <c r="I74" i="1" l="1"/>
  <c r="I75" i="1"/>
  <c r="I76" i="1"/>
  <c r="I77" i="1"/>
  <c r="I78" i="1"/>
  <c r="I79" i="1"/>
  <c r="I80" i="1"/>
  <c r="I81" i="1"/>
  <c r="I82" i="1"/>
  <c r="I73" i="1"/>
  <c r="I61" i="1"/>
  <c r="I62" i="1"/>
  <c r="I63" i="1"/>
  <c r="I64" i="1"/>
  <c r="I65" i="1"/>
  <c r="I66" i="1"/>
  <c r="I67" i="1"/>
  <c r="I68" i="1"/>
  <c r="I69" i="1"/>
  <c r="I60" i="1"/>
  <c r="I53" i="1"/>
  <c r="I54" i="1"/>
  <c r="I55" i="1"/>
  <c r="I56" i="1"/>
  <c r="I42" i="1"/>
  <c r="I43" i="1"/>
  <c r="I44" i="1"/>
  <c r="I45" i="1"/>
  <c r="I46" i="1"/>
  <c r="I47" i="1"/>
  <c r="I48" i="1"/>
  <c r="I49" i="1"/>
  <c r="I50" i="1"/>
  <c r="I51" i="1"/>
  <c r="B127" i="4"/>
  <c r="C630" i="4" s="1"/>
  <c r="C411" i="4"/>
  <c r="C632" i="4" l="1"/>
  <c r="C625" i="4"/>
  <c r="I52" i="1"/>
  <c r="C521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D306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7" i="4"/>
  <c r="G410" i="4" l="1"/>
  <c r="D312" i="4"/>
  <c r="B162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W268" i="4"/>
  <c r="W269" i="4"/>
  <c r="W270" i="4"/>
  <c r="W271" i="4"/>
  <c r="W272" i="4"/>
  <c r="W273" i="4"/>
  <c r="W274" i="4"/>
  <c r="W275" i="4"/>
  <c r="W276" i="4"/>
  <c r="W277" i="4"/>
  <c r="W278" i="4"/>
  <c r="W279" i="4"/>
  <c r="W280" i="4"/>
  <c r="W281" i="4"/>
  <c r="W282" i="4"/>
  <c r="W283" i="4"/>
  <c r="W284" i="4"/>
  <c r="W285" i="4"/>
  <c r="W286" i="4"/>
  <c r="W287" i="4"/>
  <c r="W288" i="4"/>
  <c r="W289" i="4"/>
  <c r="W290" i="4"/>
  <c r="W291" i="4"/>
  <c r="W292" i="4"/>
  <c r="W293" i="4"/>
  <c r="W294" i="4"/>
  <c r="W295" i="4"/>
  <c r="W296" i="4"/>
  <c r="W297" i="4"/>
  <c r="W298" i="4"/>
  <c r="W299" i="4"/>
  <c r="W300" i="4"/>
  <c r="W301" i="4"/>
  <c r="W302" i="4"/>
  <c r="W303" i="4"/>
  <c r="W304" i="4"/>
  <c r="W305" i="4"/>
  <c r="W306" i="4"/>
  <c r="W307" i="4"/>
  <c r="Z208" i="4"/>
  <c r="M208" i="4" l="1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1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B169" i="4"/>
  <c r="B156" i="4"/>
  <c r="B113" i="3" l="1"/>
  <c r="A113" i="3"/>
  <c r="B177" i="4" l="1"/>
  <c r="B166" i="4" l="1"/>
  <c r="B165" i="4"/>
  <c r="E11" i="4" l="1"/>
  <c r="B191" i="4" l="1"/>
  <c r="B181" i="4" l="1"/>
  <c r="B190" i="4"/>
  <c r="B182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E520" i="4"/>
  <c r="F520" i="4" s="1"/>
  <c r="E521" i="4"/>
  <c r="F521" i="4" s="1"/>
  <c r="E522" i="4"/>
  <c r="F522" i="4" s="1"/>
  <c r="E523" i="4"/>
  <c r="F523" i="4" s="1"/>
  <c r="E524" i="4"/>
  <c r="F524" i="4" s="1"/>
  <c r="E525" i="4"/>
  <c r="F525" i="4" s="1"/>
  <c r="E526" i="4"/>
  <c r="F526" i="4" s="1"/>
  <c r="E527" i="4"/>
  <c r="F527" i="4" s="1"/>
  <c r="E528" i="4"/>
  <c r="F528" i="4" s="1"/>
  <c r="E529" i="4"/>
  <c r="F529" i="4" s="1"/>
  <c r="E530" i="4"/>
  <c r="F530" i="4" s="1"/>
  <c r="E531" i="4"/>
  <c r="F531" i="4" s="1"/>
  <c r="E532" i="4"/>
  <c r="F532" i="4" s="1"/>
  <c r="E533" i="4"/>
  <c r="F533" i="4" s="1"/>
  <c r="E534" i="4"/>
  <c r="F534" i="4" s="1"/>
  <c r="E535" i="4"/>
  <c r="F535" i="4" s="1"/>
  <c r="E536" i="4"/>
  <c r="F536" i="4" s="1"/>
  <c r="E537" i="4"/>
  <c r="F537" i="4" s="1"/>
  <c r="E538" i="4"/>
  <c r="F538" i="4" s="1"/>
  <c r="E539" i="4"/>
  <c r="F539" i="4" s="1"/>
  <c r="E540" i="4"/>
  <c r="F540" i="4" s="1"/>
  <c r="E541" i="4"/>
  <c r="F541" i="4" s="1"/>
  <c r="E542" i="4"/>
  <c r="F542" i="4" s="1"/>
  <c r="E543" i="4"/>
  <c r="F543" i="4" s="1"/>
  <c r="E544" i="4"/>
  <c r="F544" i="4" s="1"/>
  <c r="E545" i="4"/>
  <c r="F545" i="4" s="1"/>
  <c r="E546" i="4"/>
  <c r="F546" i="4" s="1"/>
  <c r="E547" i="4"/>
  <c r="F547" i="4" s="1"/>
  <c r="E548" i="4"/>
  <c r="F548" i="4" s="1"/>
  <c r="E549" i="4"/>
  <c r="F549" i="4" s="1"/>
  <c r="E550" i="4"/>
  <c r="F550" i="4" s="1"/>
  <c r="E551" i="4"/>
  <c r="F551" i="4" s="1"/>
  <c r="E552" i="4"/>
  <c r="F552" i="4" s="1"/>
  <c r="E553" i="4"/>
  <c r="F553" i="4" s="1"/>
  <c r="E554" i="4"/>
  <c r="F554" i="4" s="1"/>
  <c r="E555" i="4"/>
  <c r="F555" i="4" s="1"/>
  <c r="E556" i="4"/>
  <c r="F556" i="4" s="1"/>
  <c r="E557" i="4"/>
  <c r="F557" i="4" s="1"/>
  <c r="E558" i="4"/>
  <c r="F558" i="4" s="1"/>
  <c r="E559" i="4"/>
  <c r="F559" i="4" s="1"/>
  <c r="E560" i="4"/>
  <c r="F560" i="4" s="1"/>
  <c r="E561" i="4"/>
  <c r="F561" i="4" s="1"/>
  <c r="E562" i="4"/>
  <c r="F562" i="4" s="1"/>
  <c r="E563" i="4"/>
  <c r="F563" i="4" s="1"/>
  <c r="E564" i="4"/>
  <c r="F564" i="4" s="1"/>
  <c r="E565" i="4"/>
  <c r="F565" i="4" s="1"/>
  <c r="E566" i="4"/>
  <c r="F566" i="4" s="1"/>
  <c r="E567" i="4"/>
  <c r="F567" i="4" s="1"/>
  <c r="E568" i="4"/>
  <c r="F568" i="4" s="1"/>
  <c r="E569" i="4"/>
  <c r="F569" i="4" s="1"/>
  <c r="E570" i="4"/>
  <c r="F570" i="4" s="1"/>
  <c r="E571" i="4"/>
  <c r="F571" i="4" s="1"/>
  <c r="E572" i="4"/>
  <c r="F572" i="4" s="1"/>
  <c r="E573" i="4"/>
  <c r="F573" i="4" s="1"/>
  <c r="E574" i="4"/>
  <c r="F574" i="4" s="1"/>
  <c r="E575" i="4"/>
  <c r="F575" i="4" s="1"/>
  <c r="E576" i="4"/>
  <c r="F576" i="4" s="1"/>
  <c r="E577" i="4"/>
  <c r="F577" i="4" s="1"/>
  <c r="E578" i="4"/>
  <c r="F578" i="4" s="1"/>
  <c r="E579" i="4"/>
  <c r="F579" i="4" s="1"/>
  <c r="E580" i="4"/>
  <c r="F580" i="4" s="1"/>
  <c r="E581" i="4"/>
  <c r="F581" i="4" s="1"/>
  <c r="E582" i="4"/>
  <c r="F582" i="4" s="1"/>
  <c r="E583" i="4"/>
  <c r="F583" i="4" s="1"/>
  <c r="E584" i="4"/>
  <c r="F584" i="4" s="1"/>
  <c r="E585" i="4"/>
  <c r="F585" i="4" s="1"/>
  <c r="E586" i="4"/>
  <c r="F586" i="4" s="1"/>
  <c r="E587" i="4"/>
  <c r="F587" i="4" s="1"/>
  <c r="E588" i="4"/>
  <c r="F588" i="4" s="1"/>
  <c r="E589" i="4"/>
  <c r="F589" i="4" s="1"/>
  <c r="E590" i="4"/>
  <c r="F590" i="4" s="1"/>
  <c r="E591" i="4"/>
  <c r="F591" i="4" s="1"/>
  <c r="E592" i="4"/>
  <c r="F592" i="4" s="1"/>
  <c r="E593" i="4"/>
  <c r="F593" i="4" s="1"/>
  <c r="E594" i="4"/>
  <c r="F594" i="4" s="1"/>
  <c r="E595" i="4"/>
  <c r="F595" i="4" s="1"/>
  <c r="E596" i="4"/>
  <c r="F596" i="4" s="1"/>
  <c r="E597" i="4"/>
  <c r="F597" i="4" s="1"/>
  <c r="E598" i="4"/>
  <c r="F598" i="4" s="1"/>
  <c r="E599" i="4"/>
  <c r="F599" i="4" s="1"/>
  <c r="E600" i="4"/>
  <c r="F600" i="4" s="1"/>
  <c r="E601" i="4"/>
  <c r="F601" i="4" s="1"/>
  <c r="E602" i="4"/>
  <c r="F602" i="4" s="1"/>
  <c r="E603" i="4"/>
  <c r="F603" i="4" s="1"/>
  <c r="E604" i="4"/>
  <c r="F604" i="4" s="1"/>
  <c r="E605" i="4"/>
  <c r="F605" i="4" s="1"/>
  <c r="E606" i="4"/>
  <c r="F606" i="4" s="1"/>
  <c r="E607" i="4"/>
  <c r="F607" i="4" s="1"/>
  <c r="E608" i="4"/>
  <c r="F608" i="4" s="1"/>
  <c r="E609" i="4"/>
  <c r="F609" i="4" s="1"/>
  <c r="E610" i="4"/>
  <c r="F610" i="4" s="1"/>
  <c r="E611" i="4"/>
  <c r="F611" i="4" s="1"/>
  <c r="E612" i="4"/>
  <c r="E613" i="4"/>
  <c r="F613" i="4" s="1"/>
  <c r="E614" i="4"/>
  <c r="F614" i="4" s="1"/>
  <c r="E615" i="4"/>
  <c r="F615" i="4" s="1"/>
  <c r="E616" i="4"/>
  <c r="F616" i="4" s="1"/>
  <c r="E617" i="4"/>
  <c r="F617" i="4" s="1"/>
  <c r="E618" i="4"/>
  <c r="F618" i="4" s="1"/>
  <c r="E619" i="4"/>
  <c r="F619" i="4" s="1"/>
  <c r="D512" i="4"/>
  <c r="F612" i="4" l="1"/>
  <c r="G612" i="4" s="1"/>
  <c r="G604" i="4"/>
  <c r="G596" i="4"/>
  <c r="G580" i="4"/>
  <c r="G564" i="4"/>
  <c r="G548" i="4"/>
  <c r="G588" i="4"/>
  <c r="G572" i="4"/>
  <c r="G610" i="4"/>
  <c r="G594" i="4"/>
  <c r="G586" i="4"/>
  <c r="G578" i="4"/>
  <c r="G570" i="4"/>
  <c r="G562" i="4"/>
  <c r="G554" i="4"/>
  <c r="G546" i="4"/>
  <c r="G602" i="4"/>
  <c r="G540" i="4"/>
  <c r="G532" i="4"/>
  <c r="G524" i="4"/>
  <c r="G556" i="4"/>
  <c r="G613" i="4"/>
  <c r="G605" i="4"/>
  <c r="G597" i="4"/>
  <c r="G589" i="4"/>
  <c r="G581" i="4"/>
  <c r="G573" i="4"/>
  <c r="G565" i="4"/>
  <c r="G557" i="4"/>
  <c r="G549" i="4"/>
  <c r="G541" i="4"/>
  <c r="G533" i="4"/>
  <c r="G525" i="4"/>
  <c r="G617" i="4"/>
  <c r="G616" i="4"/>
  <c r="G608" i="4"/>
  <c r="G600" i="4"/>
  <c r="G592" i="4"/>
  <c r="G584" i="4"/>
  <c r="G576" i="4"/>
  <c r="G568" i="4"/>
  <c r="G538" i="4"/>
  <c r="G530" i="4"/>
  <c r="G522" i="4"/>
  <c r="G609" i="4"/>
  <c r="G601" i="4"/>
  <c r="G593" i="4"/>
  <c r="G585" i="4"/>
  <c r="G577" i="4"/>
  <c r="G569" i="4"/>
  <c r="G561" i="4"/>
  <c r="G553" i="4"/>
  <c r="G545" i="4"/>
  <c r="G537" i="4"/>
  <c r="G529" i="4"/>
  <c r="G521" i="4"/>
  <c r="G614" i="4"/>
  <c r="G606" i="4"/>
  <c r="G598" i="4"/>
  <c r="G590" i="4"/>
  <c r="G582" i="4"/>
  <c r="G574" i="4"/>
  <c r="G566" i="4"/>
  <c r="G558" i="4"/>
  <c r="G550" i="4"/>
  <c r="G542" i="4"/>
  <c r="G534" i="4"/>
  <c r="G52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G618" i="4" l="1"/>
  <c r="G535" i="4"/>
  <c r="G560" i="4"/>
  <c r="G571" i="4"/>
  <c r="G599" i="4"/>
  <c r="G579" i="4"/>
  <c r="G543" i="4"/>
  <c r="G607" i="4"/>
  <c r="G523" i="4"/>
  <c r="G587" i="4"/>
  <c r="G531" i="4"/>
  <c r="G595" i="4"/>
  <c r="G552" i="4"/>
  <c r="G520" i="4"/>
  <c r="G539" i="4"/>
  <c r="G603" i="4"/>
  <c r="G528" i="4"/>
  <c r="G547" i="4"/>
  <c r="G611" i="4"/>
  <c r="G575" i="4"/>
  <c r="G536" i="4"/>
  <c r="G555" i="4"/>
  <c r="G619" i="4"/>
  <c r="G583" i="4"/>
  <c r="G544" i="4"/>
  <c r="G563" i="4"/>
  <c r="G559" i="4"/>
  <c r="G567" i="4"/>
  <c r="G527" i="4"/>
  <c r="G591" i="4"/>
  <c r="G551" i="4"/>
  <c r="G615" i="4"/>
  <c r="B153" i="4"/>
  <c r="E416" i="4" s="1"/>
  <c r="E408" i="4"/>
  <c r="I523" i="4" l="1"/>
  <c r="I524" i="4"/>
  <c r="I525" i="4"/>
  <c r="I526" i="4"/>
  <c r="I527" i="4"/>
  <c r="I528" i="4"/>
  <c r="I529" i="4"/>
  <c r="I530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2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18" i="4"/>
  <c r="I619" i="4"/>
  <c r="I520" i="4" l="1"/>
  <c r="J616" i="4"/>
  <c r="B616" i="4" s="1" a="1"/>
  <c r="B616" i="4" s="1"/>
  <c r="J584" i="4"/>
  <c r="B584" i="4" s="1" a="1"/>
  <c r="B584" i="4" s="1"/>
  <c r="J527" i="4"/>
  <c r="B527" i="4" s="1" a="1"/>
  <c r="B527" i="4" s="1"/>
  <c r="J575" i="4"/>
  <c r="B575" i="4" s="1" a="1"/>
  <c r="B575" i="4" s="1"/>
  <c r="J526" i="4"/>
  <c r="B526" i="4" s="1" a="1"/>
  <c r="B526" i="4" s="1"/>
  <c r="J566" i="4"/>
  <c r="B566" i="4" s="1" a="1"/>
  <c r="B566" i="4" s="1"/>
  <c r="J613" i="4"/>
  <c r="B613" i="4" s="1" a="1"/>
  <c r="B613" i="4" s="1"/>
  <c r="J589" i="4"/>
  <c r="B589" i="4" s="1" a="1"/>
  <c r="B589" i="4" s="1"/>
  <c r="J581" i="4"/>
  <c r="B581" i="4" s="1" a="1"/>
  <c r="B581" i="4" s="1"/>
  <c r="J573" i="4"/>
  <c r="B573" i="4" s="1" a="1"/>
  <c r="B573" i="4" s="1"/>
  <c r="J565" i="4"/>
  <c r="B565" i="4" s="1" a="1"/>
  <c r="B565" i="4" s="1"/>
  <c r="J557" i="4"/>
  <c r="B557" i="4" s="1" a="1"/>
  <c r="B557" i="4" s="1"/>
  <c r="J549" i="4"/>
  <c r="B549" i="4" s="1" a="1"/>
  <c r="B549" i="4" s="1"/>
  <c r="J541" i="4"/>
  <c r="B541" i="4" s="1" a="1"/>
  <c r="B541" i="4" s="1"/>
  <c r="J533" i="4"/>
  <c r="B533" i="4" s="1" a="1"/>
  <c r="B533" i="4" s="1"/>
  <c r="J524" i="4"/>
  <c r="B524" i="4" s="1" a="1"/>
  <c r="B524" i="4" s="1"/>
  <c r="J576" i="4"/>
  <c r="B576" i="4" s="1" a="1"/>
  <c r="B576" i="4" s="1"/>
  <c r="J591" i="4"/>
  <c r="B591" i="4" s="1" a="1"/>
  <c r="B591" i="4" s="1"/>
  <c r="J614" i="4"/>
  <c r="B614" i="4" s="1" a="1"/>
  <c r="B614" i="4" s="1"/>
  <c r="J582" i="4"/>
  <c r="B582" i="4" s="1" a="1"/>
  <c r="B582" i="4" s="1"/>
  <c r="J542" i="4"/>
  <c r="B542" i="4" s="1" a="1"/>
  <c r="B542" i="4" s="1"/>
  <c r="J597" i="4"/>
  <c r="B597" i="4" s="1" a="1"/>
  <c r="B597" i="4" s="1"/>
  <c r="J604" i="4"/>
  <c r="B604" i="4" s="1" a="1"/>
  <c r="B604" i="4" s="1"/>
  <c r="J596" i="4"/>
  <c r="B596" i="4" s="1" a="1"/>
  <c r="B596" i="4" s="1"/>
  <c r="J588" i="4"/>
  <c r="B588" i="4" s="1" a="1"/>
  <c r="B588" i="4" s="1"/>
  <c r="J580" i="4"/>
  <c r="B580" i="4" s="1" a="1"/>
  <c r="B580" i="4" s="1"/>
  <c r="J572" i="4"/>
  <c r="B572" i="4" s="1" a="1"/>
  <c r="B572" i="4" s="1"/>
  <c r="J564" i="4"/>
  <c r="B564" i="4" s="1" a="1"/>
  <c r="B564" i="4" s="1"/>
  <c r="J556" i="4"/>
  <c r="B556" i="4" s="1" a="1"/>
  <c r="B556" i="4" s="1"/>
  <c r="J548" i="4"/>
  <c r="B548" i="4" s="1" a="1"/>
  <c r="B548" i="4" s="1"/>
  <c r="J540" i="4"/>
  <c r="B540" i="4" s="1" a="1"/>
  <c r="B540" i="4" s="1"/>
  <c r="J532" i="4"/>
  <c r="B532" i="4" s="1" a="1"/>
  <c r="B532" i="4" s="1"/>
  <c r="J523" i="4"/>
  <c r="B523" i="4" s="1" a="1"/>
  <c r="B523" i="4" s="1"/>
  <c r="J608" i="4"/>
  <c r="B608" i="4" s="1" a="1"/>
  <c r="B608" i="4" s="1"/>
  <c r="J568" i="4"/>
  <c r="B568" i="4" s="1" a="1"/>
  <c r="B568" i="4" s="1"/>
  <c r="J544" i="4"/>
  <c r="B544" i="4" s="1" a="1"/>
  <c r="B544" i="4" s="1"/>
  <c r="J607" i="4"/>
  <c r="B607" i="4" s="1" a="1"/>
  <c r="B607" i="4" s="1"/>
  <c r="J559" i="4"/>
  <c r="B559" i="4" s="1" a="1"/>
  <c r="B559" i="4" s="1"/>
  <c r="J535" i="4"/>
  <c r="B535" i="4" s="1" a="1"/>
  <c r="B535" i="4" s="1"/>
  <c r="J590" i="4"/>
  <c r="B590" i="4" s="1" a="1"/>
  <c r="B590" i="4" s="1"/>
  <c r="J550" i="4"/>
  <c r="B550" i="4" s="1" a="1"/>
  <c r="B550" i="4" s="1"/>
  <c r="J605" i="4"/>
  <c r="B605" i="4" s="1" a="1"/>
  <c r="B605" i="4" s="1"/>
  <c r="J619" i="4"/>
  <c r="B619" i="4" s="1" a="1"/>
  <c r="B619" i="4" s="1"/>
  <c r="J611" i="4"/>
  <c r="B611" i="4" s="1" a="1"/>
  <c r="B611" i="4" s="1"/>
  <c r="J603" i="4"/>
  <c r="B603" i="4" s="1" a="1"/>
  <c r="B603" i="4" s="1"/>
  <c r="J595" i="4"/>
  <c r="B595" i="4" s="1" a="1"/>
  <c r="B595" i="4" s="1"/>
  <c r="J587" i="4"/>
  <c r="B587" i="4" s="1" a="1"/>
  <c r="B587" i="4" s="1"/>
  <c r="J579" i="4"/>
  <c r="B579" i="4" s="1" a="1"/>
  <c r="B579" i="4" s="1"/>
  <c r="J571" i="4"/>
  <c r="B571" i="4" s="1" a="1"/>
  <c r="B571" i="4" s="1"/>
  <c r="J563" i="4"/>
  <c r="B563" i="4" s="1" a="1"/>
  <c r="B563" i="4" s="1"/>
  <c r="J555" i="4"/>
  <c r="B555" i="4" s="1" a="1"/>
  <c r="B555" i="4" s="1"/>
  <c r="J547" i="4"/>
  <c r="B547" i="4" s="1" a="1"/>
  <c r="B547" i="4" s="1"/>
  <c r="J539" i="4"/>
  <c r="B539" i="4" s="1" a="1"/>
  <c r="B539" i="4" s="1"/>
  <c r="J530" i="4"/>
  <c r="B530" i="4" s="1" a="1"/>
  <c r="B530" i="4" s="1"/>
  <c r="J600" i="4"/>
  <c r="B600" i="4" s="1" a="1"/>
  <c r="B600" i="4" s="1"/>
  <c r="J560" i="4"/>
  <c r="B560" i="4" s="1" a="1"/>
  <c r="B560" i="4" s="1"/>
  <c r="J536" i="4"/>
  <c r="B536" i="4" s="1" a="1"/>
  <c r="B536" i="4" s="1"/>
  <c r="J599" i="4"/>
  <c r="B599" i="4" s="1" a="1"/>
  <c r="B599" i="4" s="1"/>
  <c r="J567" i="4"/>
  <c r="B567" i="4" s="1" a="1"/>
  <c r="B567" i="4" s="1"/>
  <c r="J543" i="4"/>
  <c r="B543" i="4" s="1" a="1"/>
  <c r="B543" i="4" s="1"/>
  <c r="J598" i="4"/>
  <c r="B598" i="4" s="1" a="1"/>
  <c r="B598" i="4" s="1"/>
  <c r="J558" i="4"/>
  <c r="B558" i="4" s="1" a="1"/>
  <c r="B558" i="4" s="1"/>
  <c r="J525" i="4"/>
  <c r="B525" i="4" s="1" a="1"/>
  <c r="B525" i="4" s="1"/>
  <c r="J618" i="4"/>
  <c r="B618" i="4" s="1" a="1"/>
  <c r="B618" i="4" s="1"/>
  <c r="J610" i="4"/>
  <c r="B610" i="4" s="1" a="1"/>
  <c r="B610" i="4" s="1"/>
  <c r="J602" i="4"/>
  <c r="B602" i="4" s="1" a="1"/>
  <c r="B602" i="4" s="1"/>
  <c r="J594" i="4"/>
  <c r="B594" i="4" s="1" a="1"/>
  <c r="B594" i="4" s="1"/>
  <c r="J586" i="4"/>
  <c r="B586" i="4" s="1" a="1"/>
  <c r="B586" i="4" s="1"/>
  <c r="J578" i="4"/>
  <c r="B578" i="4" s="1" a="1"/>
  <c r="B578" i="4" s="1"/>
  <c r="J570" i="4"/>
  <c r="B570" i="4" s="1" a="1"/>
  <c r="B570" i="4" s="1"/>
  <c r="J562" i="4"/>
  <c r="B562" i="4" s="1" a="1"/>
  <c r="B562" i="4" s="1"/>
  <c r="J554" i="4"/>
  <c r="B554" i="4" s="1" a="1"/>
  <c r="B554" i="4" s="1"/>
  <c r="J546" i="4"/>
  <c r="B546" i="4" s="1" a="1"/>
  <c r="B546" i="4" s="1"/>
  <c r="J538" i="4"/>
  <c r="B538" i="4" s="1" a="1"/>
  <c r="B538" i="4" s="1"/>
  <c r="J529" i="4"/>
  <c r="B529" i="4" s="1" a="1"/>
  <c r="B529" i="4" s="1"/>
  <c r="J592" i="4"/>
  <c r="B592" i="4" s="1" a="1"/>
  <c r="B592" i="4" s="1"/>
  <c r="J552" i="4"/>
  <c r="B552" i="4" s="1" a="1"/>
  <c r="B552" i="4" s="1"/>
  <c r="J615" i="4"/>
  <c r="B615" i="4" s="1" a="1"/>
  <c r="B615" i="4" s="1"/>
  <c r="J583" i="4"/>
  <c r="B583" i="4" s="1" a="1"/>
  <c r="B583" i="4" s="1"/>
  <c r="J551" i="4"/>
  <c r="B551" i="4" s="1" a="1"/>
  <c r="B551" i="4" s="1"/>
  <c r="J606" i="4"/>
  <c r="B606" i="4" s="1" a="1"/>
  <c r="B606" i="4" s="1"/>
  <c r="J574" i="4"/>
  <c r="B574" i="4" s="1" a="1"/>
  <c r="B574" i="4" s="1"/>
  <c r="J534" i="4"/>
  <c r="B534" i="4" s="1" a="1"/>
  <c r="B534" i="4" s="1"/>
  <c r="J612" i="4"/>
  <c r="B612" i="4" s="1" a="1"/>
  <c r="B612" i="4" s="1"/>
  <c r="J617" i="4"/>
  <c r="B617" i="4" s="1" a="1"/>
  <c r="B617" i="4" s="1"/>
  <c r="J609" i="4"/>
  <c r="B609" i="4" s="1" a="1"/>
  <c r="B609" i="4" s="1"/>
  <c r="J601" i="4"/>
  <c r="B601" i="4" s="1" a="1"/>
  <c r="B601" i="4" s="1"/>
  <c r="J593" i="4"/>
  <c r="B593" i="4" s="1" a="1"/>
  <c r="B593" i="4" s="1"/>
  <c r="J585" i="4"/>
  <c r="B585" i="4" s="1" a="1"/>
  <c r="B585" i="4" s="1"/>
  <c r="J577" i="4"/>
  <c r="B577" i="4" s="1" a="1"/>
  <c r="B577" i="4" s="1"/>
  <c r="J569" i="4"/>
  <c r="B569" i="4" s="1" a="1"/>
  <c r="B569" i="4" s="1"/>
  <c r="J561" i="4"/>
  <c r="B561" i="4" s="1" a="1"/>
  <c r="B561" i="4" s="1"/>
  <c r="J553" i="4"/>
  <c r="B553" i="4" s="1" a="1"/>
  <c r="B553" i="4" s="1"/>
  <c r="J545" i="4"/>
  <c r="B545" i="4" s="1" a="1"/>
  <c r="B545" i="4" s="1"/>
  <c r="J537" i="4"/>
  <c r="B537" i="4" s="1" a="1"/>
  <c r="B537" i="4" s="1"/>
  <c r="J528" i="4"/>
  <c r="B528" i="4" s="1" a="1"/>
  <c r="B528" i="4" s="1"/>
  <c r="B164" i="4"/>
  <c r="J520" i="4" l="1"/>
  <c r="B520" i="4" s="1" a="1"/>
  <c r="B520" i="4" s="1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" i="4"/>
  <c r="E703" i="4" l="1"/>
  <c r="I703" i="4"/>
  <c r="H703" i="4"/>
  <c r="D703" i="4"/>
  <c r="E679" i="4"/>
  <c r="I679" i="4"/>
  <c r="H679" i="4"/>
  <c r="D679" i="4"/>
  <c r="E655" i="4"/>
  <c r="I655" i="4"/>
  <c r="H655" i="4"/>
  <c r="D655" i="4"/>
  <c r="E639" i="4"/>
  <c r="D639" i="4"/>
  <c r="I639" i="4"/>
  <c r="H639" i="4"/>
  <c r="D710" i="4"/>
  <c r="E710" i="4"/>
  <c r="I710" i="4"/>
  <c r="H710" i="4"/>
  <c r="D686" i="4"/>
  <c r="E686" i="4"/>
  <c r="I686" i="4"/>
  <c r="H686" i="4"/>
  <c r="D654" i="4"/>
  <c r="E654" i="4"/>
  <c r="I654" i="4"/>
  <c r="H654" i="4"/>
  <c r="D638" i="4"/>
  <c r="E638" i="4"/>
  <c r="I638" i="4"/>
  <c r="H638" i="4"/>
  <c r="D717" i="4"/>
  <c r="E717" i="4"/>
  <c r="I717" i="4"/>
  <c r="H717" i="4"/>
  <c r="D693" i="4"/>
  <c r="E693" i="4"/>
  <c r="I693" i="4"/>
  <c r="H693" i="4"/>
  <c r="D677" i="4"/>
  <c r="E677" i="4"/>
  <c r="I677" i="4"/>
  <c r="H677" i="4"/>
  <c r="D669" i="4"/>
  <c r="E669" i="4"/>
  <c r="I669" i="4"/>
  <c r="H669" i="4"/>
  <c r="D653" i="4"/>
  <c r="E653" i="4"/>
  <c r="I653" i="4"/>
  <c r="H653" i="4"/>
  <c r="D645" i="4"/>
  <c r="E645" i="4"/>
  <c r="I645" i="4"/>
  <c r="H645" i="4"/>
  <c r="D629" i="4"/>
  <c r="I629" i="4"/>
  <c r="H629" i="4"/>
  <c r="E629" i="4"/>
  <c r="I716" i="4"/>
  <c r="H716" i="4"/>
  <c r="D716" i="4"/>
  <c r="E716" i="4"/>
  <c r="I708" i="4"/>
  <c r="H708" i="4"/>
  <c r="D708" i="4"/>
  <c r="E708" i="4"/>
  <c r="I700" i="4"/>
  <c r="H700" i="4"/>
  <c r="D700" i="4"/>
  <c r="E700" i="4"/>
  <c r="I692" i="4"/>
  <c r="H692" i="4"/>
  <c r="D692" i="4"/>
  <c r="E692" i="4"/>
  <c r="I684" i="4"/>
  <c r="H684" i="4"/>
  <c r="D684" i="4"/>
  <c r="E684" i="4"/>
  <c r="I676" i="4"/>
  <c r="H676" i="4"/>
  <c r="D676" i="4"/>
  <c r="E676" i="4"/>
  <c r="I668" i="4"/>
  <c r="H668" i="4"/>
  <c r="D668" i="4"/>
  <c r="E668" i="4"/>
  <c r="I660" i="4"/>
  <c r="H660" i="4"/>
  <c r="D660" i="4"/>
  <c r="E660" i="4"/>
  <c r="I652" i="4"/>
  <c r="H652" i="4"/>
  <c r="D652" i="4"/>
  <c r="E652" i="4"/>
  <c r="I644" i="4"/>
  <c r="H644" i="4"/>
  <c r="D644" i="4"/>
  <c r="E644" i="4"/>
  <c r="I636" i="4"/>
  <c r="H636" i="4"/>
  <c r="D636" i="4"/>
  <c r="E636" i="4"/>
  <c r="D628" i="4"/>
  <c r="E628" i="4"/>
  <c r="I628" i="4"/>
  <c r="H628" i="4"/>
  <c r="D711" i="4"/>
  <c r="E711" i="4"/>
  <c r="I711" i="4"/>
  <c r="H711" i="4"/>
  <c r="D702" i="4"/>
  <c r="E702" i="4"/>
  <c r="I702" i="4"/>
  <c r="H702" i="4"/>
  <c r="D670" i="4"/>
  <c r="E670" i="4"/>
  <c r="I670" i="4"/>
  <c r="H670" i="4"/>
  <c r="D646" i="4"/>
  <c r="E646" i="4"/>
  <c r="I646" i="4"/>
  <c r="H646" i="4"/>
  <c r="D709" i="4"/>
  <c r="E709" i="4"/>
  <c r="I709" i="4"/>
  <c r="H709" i="4"/>
  <c r="D701" i="4"/>
  <c r="E701" i="4"/>
  <c r="I701" i="4"/>
  <c r="H701" i="4"/>
  <c r="D685" i="4"/>
  <c r="E685" i="4"/>
  <c r="I685" i="4"/>
  <c r="H685" i="4"/>
  <c r="D661" i="4"/>
  <c r="E661" i="4"/>
  <c r="I661" i="4"/>
  <c r="H661" i="4"/>
  <c r="D637" i="4"/>
  <c r="E637" i="4"/>
  <c r="I637" i="4"/>
  <c r="H637" i="4"/>
  <c r="I623" i="4"/>
  <c r="H623" i="4"/>
  <c r="E623" i="4"/>
  <c r="D623" i="4"/>
  <c r="I715" i="4"/>
  <c r="H715" i="4"/>
  <c r="E715" i="4"/>
  <c r="D715" i="4"/>
  <c r="I707" i="4"/>
  <c r="H707" i="4"/>
  <c r="D707" i="4"/>
  <c r="E707" i="4"/>
  <c r="I699" i="4"/>
  <c r="H699" i="4"/>
  <c r="E699" i="4"/>
  <c r="D699" i="4"/>
  <c r="I691" i="4"/>
  <c r="H691" i="4"/>
  <c r="D691" i="4"/>
  <c r="E691" i="4"/>
  <c r="I683" i="4"/>
  <c r="H683" i="4"/>
  <c r="E683" i="4"/>
  <c r="D683" i="4"/>
  <c r="I675" i="4"/>
  <c r="H675" i="4"/>
  <c r="E675" i="4"/>
  <c r="D675" i="4"/>
  <c r="I667" i="4"/>
  <c r="H667" i="4"/>
  <c r="D667" i="4"/>
  <c r="E667" i="4"/>
  <c r="I659" i="4"/>
  <c r="H659" i="4"/>
  <c r="D659" i="4"/>
  <c r="E659" i="4"/>
  <c r="I651" i="4"/>
  <c r="H651" i="4"/>
  <c r="E651" i="4"/>
  <c r="D651" i="4"/>
  <c r="I643" i="4"/>
  <c r="H643" i="4"/>
  <c r="D643" i="4"/>
  <c r="E643" i="4"/>
  <c r="I635" i="4"/>
  <c r="H635" i="4"/>
  <c r="E635" i="4"/>
  <c r="D635" i="4"/>
  <c r="D627" i="4"/>
  <c r="E627" i="4"/>
  <c r="I627" i="4"/>
  <c r="H627" i="4"/>
  <c r="D719" i="4"/>
  <c r="I719" i="4"/>
  <c r="H719" i="4"/>
  <c r="E719" i="4"/>
  <c r="D687" i="4"/>
  <c r="I687" i="4"/>
  <c r="H687" i="4"/>
  <c r="E687" i="4"/>
  <c r="D663" i="4"/>
  <c r="I663" i="4"/>
  <c r="H663" i="4"/>
  <c r="E663" i="4"/>
  <c r="D631" i="4"/>
  <c r="E631" i="4"/>
  <c r="H631" i="4"/>
  <c r="I631" i="4"/>
  <c r="D694" i="4"/>
  <c r="E694" i="4"/>
  <c r="I694" i="4"/>
  <c r="H694" i="4"/>
  <c r="D662" i="4"/>
  <c r="E662" i="4"/>
  <c r="I662" i="4"/>
  <c r="H662" i="4"/>
  <c r="D714" i="4"/>
  <c r="I714" i="4"/>
  <c r="H714" i="4"/>
  <c r="E714" i="4"/>
  <c r="D706" i="4"/>
  <c r="E706" i="4"/>
  <c r="I706" i="4"/>
  <c r="H706" i="4"/>
  <c r="D698" i="4"/>
  <c r="E698" i="4"/>
  <c r="I698" i="4"/>
  <c r="H698" i="4"/>
  <c r="E690" i="4"/>
  <c r="D690" i="4"/>
  <c r="I690" i="4"/>
  <c r="H690" i="4"/>
  <c r="E682" i="4"/>
  <c r="D682" i="4"/>
  <c r="I682" i="4"/>
  <c r="H682" i="4"/>
  <c r="D674" i="4"/>
  <c r="E674" i="4"/>
  <c r="I674" i="4"/>
  <c r="H674" i="4"/>
  <c r="D666" i="4"/>
  <c r="I666" i="4"/>
  <c r="H666" i="4"/>
  <c r="E666" i="4"/>
  <c r="E658" i="4"/>
  <c r="D658" i="4"/>
  <c r="I658" i="4"/>
  <c r="H658" i="4"/>
  <c r="E650" i="4"/>
  <c r="D650" i="4"/>
  <c r="I650" i="4"/>
  <c r="H650" i="4"/>
  <c r="E642" i="4"/>
  <c r="D642" i="4"/>
  <c r="I642" i="4"/>
  <c r="H642" i="4"/>
  <c r="D634" i="4"/>
  <c r="E634" i="4"/>
  <c r="I634" i="4"/>
  <c r="H634" i="4"/>
  <c r="I626" i="4"/>
  <c r="H626" i="4"/>
  <c r="D626" i="4"/>
  <c r="E626" i="4"/>
  <c r="H721" i="4"/>
  <c r="D721" i="4"/>
  <c r="E721" i="4"/>
  <c r="I721" i="4"/>
  <c r="I713" i="4"/>
  <c r="D713" i="4"/>
  <c r="E713" i="4"/>
  <c r="H713" i="4"/>
  <c r="I705" i="4"/>
  <c r="H705" i="4"/>
  <c r="D705" i="4"/>
  <c r="E705" i="4"/>
  <c r="I697" i="4"/>
  <c r="H697" i="4"/>
  <c r="D697" i="4"/>
  <c r="E697" i="4"/>
  <c r="H689" i="4"/>
  <c r="D689" i="4"/>
  <c r="E689" i="4"/>
  <c r="I689" i="4"/>
  <c r="D681" i="4"/>
  <c r="E681" i="4"/>
  <c r="I681" i="4"/>
  <c r="H681" i="4"/>
  <c r="H673" i="4"/>
  <c r="I673" i="4"/>
  <c r="D673" i="4"/>
  <c r="E673" i="4"/>
  <c r="I665" i="4"/>
  <c r="D665" i="4"/>
  <c r="E665" i="4"/>
  <c r="H665" i="4"/>
  <c r="I657" i="4"/>
  <c r="H657" i="4"/>
  <c r="D657" i="4"/>
  <c r="E657" i="4"/>
  <c r="H649" i="4"/>
  <c r="D649" i="4"/>
  <c r="E649" i="4"/>
  <c r="I649" i="4"/>
  <c r="I641" i="4"/>
  <c r="H641" i="4"/>
  <c r="D641" i="4"/>
  <c r="E641" i="4"/>
  <c r="D633" i="4"/>
  <c r="E633" i="4"/>
  <c r="I633" i="4"/>
  <c r="H633" i="4"/>
  <c r="D695" i="4"/>
  <c r="E695" i="4"/>
  <c r="I695" i="4"/>
  <c r="H695" i="4"/>
  <c r="D671" i="4"/>
  <c r="E671" i="4"/>
  <c r="I671" i="4"/>
  <c r="H671" i="4"/>
  <c r="D647" i="4"/>
  <c r="E647" i="4"/>
  <c r="I647" i="4"/>
  <c r="H647" i="4"/>
  <c r="D718" i="4"/>
  <c r="E718" i="4"/>
  <c r="I718" i="4"/>
  <c r="H718" i="4"/>
  <c r="D678" i="4"/>
  <c r="E678" i="4"/>
  <c r="I678" i="4"/>
  <c r="H678" i="4"/>
  <c r="E722" i="4"/>
  <c r="D722" i="4"/>
  <c r="I722" i="4"/>
  <c r="H722" i="4"/>
  <c r="D720" i="4"/>
  <c r="E720" i="4"/>
  <c r="H720" i="4"/>
  <c r="I720" i="4"/>
  <c r="H712" i="4"/>
  <c r="D712" i="4"/>
  <c r="E712" i="4"/>
  <c r="I712" i="4"/>
  <c r="D704" i="4"/>
  <c r="E704" i="4"/>
  <c r="I704" i="4"/>
  <c r="H704" i="4"/>
  <c r="D696" i="4"/>
  <c r="E696" i="4"/>
  <c r="H696" i="4"/>
  <c r="I696" i="4"/>
  <c r="D688" i="4"/>
  <c r="E688" i="4"/>
  <c r="I688" i="4"/>
  <c r="H688" i="4"/>
  <c r="D680" i="4"/>
  <c r="E680" i="4"/>
  <c r="H680" i="4"/>
  <c r="I680" i="4"/>
  <c r="D672" i="4"/>
  <c r="E672" i="4"/>
  <c r="I672" i="4"/>
  <c r="H672" i="4"/>
  <c r="D664" i="4"/>
  <c r="E664" i="4"/>
  <c r="H664" i="4"/>
  <c r="I664" i="4"/>
  <c r="D656" i="4"/>
  <c r="E656" i="4"/>
  <c r="I656" i="4"/>
  <c r="H656" i="4"/>
  <c r="D648" i="4"/>
  <c r="E648" i="4"/>
  <c r="H648" i="4"/>
  <c r="I648" i="4"/>
  <c r="D640" i="4"/>
  <c r="E640" i="4"/>
  <c r="I640" i="4"/>
  <c r="H640" i="4"/>
  <c r="I632" i="4"/>
  <c r="H632" i="4"/>
  <c r="D632" i="4"/>
  <c r="E632" i="4"/>
  <c r="I630" i="4"/>
  <c r="H630" i="4"/>
  <c r="I625" i="4"/>
  <c r="H625" i="4"/>
  <c r="H624" i="4"/>
  <c r="D624" i="4"/>
  <c r="E624" i="4"/>
  <c r="I624" i="4"/>
  <c r="D630" i="4"/>
  <c r="E630" i="4"/>
  <c r="E625" i="4"/>
  <c r="D625" i="4"/>
  <c r="X33" i="4"/>
  <c r="B630" i="4" l="1" a="1"/>
  <c r="B630" i="4" s="1"/>
  <c r="B684" i="4" a="1"/>
  <c r="B684" i="4" s="1"/>
  <c r="B636" i="4" a="1"/>
  <c r="B636" i="4" s="1"/>
  <c r="B652" i="4" a="1"/>
  <c r="B652" i="4" s="1"/>
  <c r="B668" i="4" a="1"/>
  <c r="B668" i="4" s="1"/>
  <c r="B700" i="4" a="1"/>
  <c r="B700" i="4" s="1"/>
  <c r="B716" i="4" a="1"/>
  <c r="B716" i="4" s="1"/>
  <c r="B697" i="4" a="1"/>
  <c r="B697" i="4" s="1"/>
  <c r="B626" i="4" a="1"/>
  <c r="B626" i="4" s="1"/>
  <c r="B643" i="4" a="1"/>
  <c r="B643" i="4" s="1"/>
  <c r="B659" i="4" a="1"/>
  <c r="B659" i="4" s="1"/>
  <c r="B691" i="4" a="1"/>
  <c r="B691" i="4" s="1"/>
  <c r="B707" i="4" a="1"/>
  <c r="B707" i="4" s="1"/>
  <c r="B644" i="4" a="1"/>
  <c r="B644" i="4" s="1"/>
  <c r="B660" i="4" a="1"/>
  <c r="B660" i="4" s="1"/>
  <c r="B676" i="4" a="1"/>
  <c r="B676" i="4" s="1"/>
  <c r="B692" i="4" a="1"/>
  <c r="B692" i="4" s="1"/>
  <c r="B708" i="4" a="1"/>
  <c r="B708" i="4" s="1"/>
  <c r="B635" i="4" a="1"/>
  <c r="B635" i="4" s="1"/>
  <c r="B651" i="4" a="1"/>
  <c r="B651" i="4" s="1"/>
  <c r="B672" i="4" a="1"/>
  <c r="B672" i="4" s="1"/>
  <c r="B637" i="4" a="1"/>
  <c r="B637" i="4" s="1"/>
  <c r="B670" i="4" a="1"/>
  <c r="B670" i="4" s="1"/>
  <c r="B640" i="4" a="1"/>
  <c r="B640" i="4" s="1"/>
  <c r="B683" i="4" a="1"/>
  <c r="B683" i="4" s="1"/>
  <c r="B699" i="4" a="1"/>
  <c r="B699" i="4" s="1"/>
  <c r="B715" i="4" a="1"/>
  <c r="B715" i="4" s="1"/>
  <c r="B679" i="4" a="1"/>
  <c r="B679" i="4" s="1"/>
  <c r="B641" i="4" a="1"/>
  <c r="B641" i="4" s="1"/>
  <c r="B657" i="4" a="1"/>
  <c r="B657" i="4" s="1"/>
  <c r="B673" i="4" a="1"/>
  <c r="B673" i="4" s="1"/>
  <c r="B705" i="4" a="1"/>
  <c r="B705" i="4" s="1"/>
  <c r="B667" i="4" a="1"/>
  <c r="B667" i="4" s="1"/>
  <c r="B689" i="4" a="1"/>
  <c r="B689" i="4" s="1"/>
  <c r="B721" i="4" a="1"/>
  <c r="B721" i="4" s="1"/>
  <c r="B650" i="4" a="1"/>
  <c r="B650" i="4" s="1"/>
  <c r="B682" i="4" a="1"/>
  <c r="B682" i="4" s="1"/>
  <c r="B639" i="4" a="1"/>
  <c r="B639" i="4" s="1"/>
  <c r="B720" i="4" a="1"/>
  <c r="B720" i="4" s="1"/>
  <c r="B695" i="4" a="1"/>
  <c r="B695" i="4" s="1"/>
  <c r="B711" i="4" a="1"/>
  <c r="B711" i="4" s="1"/>
  <c r="B645" i="4" a="1"/>
  <c r="B645" i="4" s="1"/>
  <c r="B669" i="4" a="1"/>
  <c r="B669" i="4" s="1"/>
  <c r="B693" i="4" a="1"/>
  <c r="B693" i="4" s="1"/>
  <c r="B638" i="4" a="1"/>
  <c r="B638" i="4" s="1"/>
  <c r="B686" i="4" a="1"/>
  <c r="B686" i="4" s="1"/>
  <c r="B688" i="4" a="1"/>
  <c r="B688" i="4" s="1"/>
  <c r="B704" i="4" a="1"/>
  <c r="B704" i="4" s="1"/>
  <c r="B678" i="4" a="1"/>
  <c r="B678" i="4" s="1"/>
  <c r="B647" i="4" a="1"/>
  <c r="B647" i="4" s="1"/>
  <c r="B634" i="4" a="1"/>
  <c r="B634" i="4" s="1"/>
  <c r="B666" i="4" a="1"/>
  <c r="B666" i="4" s="1"/>
  <c r="B698" i="4" a="1"/>
  <c r="B698" i="4" s="1"/>
  <c r="B714" i="4" a="1"/>
  <c r="B714" i="4" s="1"/>
  <c r="B694" i="4" a="1"/>
  <c r="B694" i="4" s="1"/>
  <c r="B663" i="4" a="1"/>
  <c r="B663" i="4" s="1"/>
  <c r="B719" i="4" a="1"/>
  <c r="B719" i="4" s="1"/>
  <c r="B685" i="4" a="1"/>
  <c r="B685" i="4" s="1"/>
  <c r="B709" i="4" a="1"/>
  <c r="B709" i="4" s="1"/>
  <c r="B675" i="4" a="1"/>
  <c r="B675" i="4" s="1"/>
  <c r="B623" i="4" a="1"/>
  <c r="B623" i="4" s="1"/>
  <c r="B655" i="4" a="1"/>
  <c r="B655" i="4" s="1"/>
  <c r="B703" i="4" a="1"/>
  <c r="B703" i="4" s="1"/>
  <c r="B712" i="4" a="1"/>
  <c r="B712" i="4" s="1"/>
  <c r="B722" i="4" a="1"/>
  <c r="B722" i="4" s="1"/>
  <c r="B649" i="4" a="1"/>
  <c r="B649" i="4" s="1"/>
  <c r="B665" i="4" a="1"/>
  <c r="B665" i="4" s="1"/>
  <c r="B713" i="4" a="1"/>
  <c r="B713" i="4" s="1"/>
  <c r="B642" i="4" a="1"/>
  <c r="B642" i="4" s="1"/>
  <c r="B658" i="4" a="1"/>
  <c r="B658" i="4" s="1"/>
  <c r="B690" i="4" a="1"/>
  <c r="B690" i="4" s="1"/>
  <c r="B656" i="4" a="1"/>
  <c r="B656" i="4" s="1"/>
  <c r="B648" i="4" a="1"/>
  <c r="B648" i="4" s="1"/>
  <c r="B664" i="4" a="1"/>
  <c r="B664" i="4" s="1"/>
  <c r="B680" i="4" a="1"/>
  <c r="B680" i="4" s="1"/>
  <c r="B696" i="4" a="1"/>
  <c r="B696" i="4" s="1"/>
  <c r="B718" i="4" a="1"/>
  <c r="B718" i="4" s="1"/>
  <c r="B671" i="4" a="1"/>
  <c r="B671" i="4" s="1"/>
  <c r="B633" i="4" a="1"/>
  <c r="B633" i="4" s="1"/>
  <c r="B681" i="4" a="1"/>
  <c r="B681" i="4" s="1"/>
  <c r="B674" i="4" a="1"/>
  <c r="B674" i="4" s="1"/>
  <c r="B706" i="4" a="1"/>
  <c r="B706" i="4" s="1"/>
  <c r="B662" i="4" a="1"/>
  <c r="B662" i="4" s="1"/>
  <c r="B631" i="4" a="1"/>
  <c r="B631" i="4" s="1"/>
  <c r="B687" i="4" a="1"/>
  <c r="B687" i="4" s="1"/>
  <c r="B627" i="4" a="1"/>
  <c r="B627" i="4" s="1"/>
  <c r="B661" i="4" a="1"/>
  <c r="B661" i="4" s="1"/>
  <c r="B701" i="4" a="1"/>
  <c r="B701" i="4" s="1"/>
  <c r="B646" i="4" a="1"/>
  <c r="B646" i="4" s="1"/>
  <c r="B702" i="4" a="1"/>
  <c r="B702" i="4" s="1"/>
  <c r="B628" i="4" a="1"/>
  <c r="B628" i="4" s="1"/>
  <c r="B629" i="4" a="1"/>
  <c r="B629" i="4" s="1"/>
  <c r="B653" i="4" a="1"/>
  <c r="B653" i="4" s="1"/>
  <c r="B677" i="4" a="1"/>
  <c r="B677" i="4" s="1"/>
  <c r="B717" i="4" a="1"/>
  <c r="B717" i="4" s="1"/>
  <c r="B654" i="4" a="1"/>
  <c r="B654" i="4" s="1"/>
  <c r="B710" i="4" a="1"/>
  <c r="B710" i="4" s="1"/>
  <c r="B632" i="4" a="1"/>
  <c r="B632" i="4" s="1"/>
  <c r="B624" i="4" a="1"/>
  <c r="B624" i="4" s="1"/>
  <c r="B625" i="4" a="1"/>
  <c r="B625" i="4" s="1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3" i="4"/>
  <c r="D514" i="4"/>
  <c r="D515" i="4"/>
  <c r="H16" i="1"/>
  <c r="I416" i="4" s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492" i="4" l="1"/>
  <c r="F492" i="4"/>
  <c r="I492" i="4"/>
  <c r="H460" i="4"/>
  <c r="F460" i="4"/>
  <c r="I460" i="4"/>
  <c r="H444" i="4"/>
  <c r="F444" i="4"/>
  <c r="I444" i="4"/>
  <c r="H420" i="4"/>
  <c r="F420" i="4"/>
  <c r="I420" i="4"/>
  <c r="H484" i="4"/>
  <c r="F484" i="4"/>
  <c r="I484" i="4"/>
  <c r="H452" i="4"/>
  <c r="F452" i="4"/>
  <c r="I452" i="4"/>
  <c r="H507" i="4"/>
  <c r="F507" i="4"/>
  <c r="I507" i="4"/>
  <c r="H499" i="4"/>
  <c r="F499" i="4"/>
  <c r="I499" i="4"/>
  <c r="H475" i="4"/>
  <c r="F475" i="4"/>
  <c r="I475" i="4"/>
  <c r="H467" i="4"/>
  <c r="F467" i="4"/>
  <c r="I467" i="4"/>
  <c r="H459" i="4"/>
  <c r="F459" i="4"/>
  <c r="I459" i="4"/>
  <c r="H451" i="4"/>
  <c r="F451" i="4"/>
  <c r="I451" i="4"/>
  <c r="H443" i="4"/>
  <c r="F443" i="4"/>
  <c r="I443" i="4"/>
  <c r="H435" i="4"/>
  <c r="F435" i="4"/>
  <c r="I435" i="4"/>
  <c r="H427" i="4"/>
  <c r="F427" i="4"/>
  <c r="I427" i="4"/>
  <c r="H419" i="4"/>
  <c r="F419" i="4"/>
  <c r="I419" i="4"/>
  <c r="H508" i="4"/>
  <c r="F508" i="4"/>
  <c r="I508" i="4"/>
  <c r="H468" i="4"/>
  <c r="F468" i="4"/>
  <c r="I468" i="4"/>
  <c r="H428" i="4"/>
  <c r="F428" i="4"/>
  <c r="I428" i="4"/>
  <c r="H483" i="4"/>
  <c r="F483" i="4"/>
  <c r="I483" i="4"/>
  <c r="H514" i="4"/>
  <c r="F514" i="4"/>
  <c r="I514" i="4"/>
  <c r="H506" i="4"/>
  <c r="F506" i="4"/>
  <c r="I506" i="4"/>
  <c r="H498" i="4"/>
  <c r="F498" i="4"/>
  <c r="I498" i="4"/>
  <c r="H490" i="4"/>
  <c r="F490" i="4"/>
  <c r="I490" i="4"/>
  <c r="H482" i="4"/>
  <c r="F482" i="4"/>
  <c r="I482" i="4"/>
  <c r="H474" i="4"/>
  <c r="F474" i="4"/>
  <c r="I474" i="4"/>
  <c r="H466" i="4"/>
  <c r="F466" i="4"/>
  <c r="I466" i="4"/>
  <c r="H458" i="4"/>
  <c r="F458" i="4"/>
  <c r="I458" i="4"/>
  <c r="H450" i="4"/>
  <c r="F450" i="4"/>
  <c r="I450" i="4"/>
  <c r="H442" i="4"/>
  <c r="F442" i="4"/>
  <c r="I442" i="4"/>
  <c r="H434" i="4"/>
  <c r="F434" i="4"/>
  <c r="I434" i="4"/>
  <c r="H426" i="4"/>
  <c r="F426" i="4"/>
  <c r="I426" i="4"/>
  <c r="H418" i="4"/>
  <c r="F418" i="4"/>
  <c r="I418" i="4"/>
  <c r="H476" i="4"/>
  <c r="F476" i="4"/>
  <c r="I476" i="4"/>
  <c r="H436" i="4"/>
  <c r="F436" i="4"/>
  <c r="I436" i="4"/>
  <c r="H515" i="4"/>
  <c r="F515" i="4"/>
  <c r="I515" i="4"/>
  <c r="H491" i="4"/>
  <c r="F491" i="4"/>
  <c r="I491" i="4"/>
  <c r="H513" i="4"/>
  <c r="I513" i="4"/>
  <c r="F513" i="4"/>
  <c r="H505" i="4"/>
  <c r="I505" i="4"/>
  <c r="F505" i="4"/>
  <c r="H497" i="4"/>
  <c r="I497" i="4"/>
  <c r="F497" i="4"/>
  <c r="H489" i="4"/>
  <c r="I489" i="4"/>
  <c r="F489" i="4"/>
  <c r="H481" i="4"/>
  <c r="I481" i="4"/>
  <c r="F481" i="4"/>
  <c r="H473" i="4"/>
  <c r="I473" i="4"/>
  <c r="F473" i="4"/>
  <c r="H465" i="4"/>
  <c r="I465" i="4"/>
  <c r="F465" i="4"/>
  <c r="H457" i="4"/>
  <c r="I457" i="4"/>
  <c r="F457" i="4"/>
  <c r="H449" i="4"/>
  <c r="I449" i="4"/>
  <c r="F449" i="4"/>
  <c r="H441" i="4"/>
  <c r="I441" i="4"/>
  <c r="F441" i="4"/>
  <c r="H433" i="4"/>
  <c r="I433" i="4"/>
  <c r="F433" i="4"/>
  <c r="H425" i="4"/>
  <c r="I425" i="4"/>
  <c r="F425" i="4"/>
  <c r="H417" i="4"/>
  <c r="I417" i="4"/>
  <c r="F417" i="4"/>
  <c r="H496" i="4"/>
  <c r="I496" i="4"/>
  <c r="F496" i="4"/>
  <c r="H488" i="4"/>
  <c r="I488" i="4"/>
  <c r="F488" i="4"/>
  <c r="H480" i="4"/>
  <c r="I480" i="4"/>
  <c r="F480" i="4"/>
  <c r="H472" i="4"/>
  <c r="I472" i="4"/>
  <c r="F472" i="4"/>
  <c r="H464" i="4"/>
  <c r="I464" i="4"/>
  <c r="F464" i="4"/>
  <c r="H456" i="4"/>
  <c r="I456" i="4"/>
  <c r="F456" i="4"/>
  <c r="H448" i="4"/>
  <c r="I448" i="4"/>
  <c r="F448" i="4"/>
  <c r="H440" i="4"/>
  <c r="I440" i="4"/>
  <c r="F440" i="4"/>
  <c r="H432" i="4"/>
  <c r="I432" i="4"/>
  <c r="F432" i="4"/>
  <c r="H424" i="4"/>
  <c r="I424" i="4"/>
  <c r="F424" i="4"/>
  <c r="H511" i="4"/>
  <c r="I511" i="4"/>
  <c r="F511" i="4"/>
  <c r="H503" i="4"/>
  <c r="I503" i="4"/>
  <c r="F503" i="4"/>
  <c r="H479" i="4"/>
  <c r="I479" i="4"/>
  <c r="F479" i="4"/>
  <c r="H471" i="4"/>
  <c r="I471" i="4"/>
  <c r="F471" i="4"/>
  <c r="H463" i="4"/>
  <c r="I463" i="4"/>
  <c r="F463" i="4"/>
  <c r="H455" i="4"/>
  <c r="I455" i="4"/>
  <c r="F455" i="4"/>
  <c r="H447" i="4"/>
  <c r="I447" i="4"/>
  <c r="F447" i="4"/>
  <c r="H439" i="4"/>
  <c r="I439" i="4"/>
  <c r="F439" i="4"/>
  <c r="H431" i="4"/>
  <c r="I431" i="4"/>
  <c r="F431" i="4"/>
  <c r="H423" i="4"/>
  <c r="I423" i="4"/>
  <c r="F423" i="4"/>
  <c r="H512" i="4"/>
  <c r="I512" i="4"/>
  <c r="F512" i="4"/>
  <c r="H487" i="4"/>
  <c r="I487" i="4"/>
  <c r="F487" i="4"/>
  <c r="H510" i="4"/>
  <c r="I510" i="4"/>
  <c r="F510" i="4"/>
  <c r="H502" i="4"/>
  <c r="I502" i="4"/>
  <c r="F502" i="4"/>
  <c r="H494" i="4"/>
  <c r="I494" i="4"/>
  <c r="F494" i="4"/>
  <c r="H486" i="4"/>
  <c r="I486" i="4"/>
  <c r="F486" i="4"/>
  <c r="H478" i="4"/>
  <c r="I478" i="4"/>
  <c r="F478" i="4"/>
  <c r="H470" i="4"/>
  <c r="I470" i="4"/>
  <c r="F470" i="4"/>
  <c r="H462" i="4"/>
  <c r="I462" i="4"/>
  <c r="F462" i="4"/>
  <c r="H454" i="4"/>
  <c r="I454" i="4"/>
  <c r="F454" i="4"/>
  <c r="H446" i="4"/>
  <c r="I446" i="4"/>
  <c r="F446" i="4"/>
  <c r="H438" i="4"/>
  <c r="I438" i="4"/>
  <c r="F438" i="4"/>
  <c r="H430" i="4"/>
  <c r="I430" i="4"/>
  <c r="F430" i="4"/>
  <c r="H422" i="4"/>
  <c r="I422" i="4"/>
  <c r="F422" i="4"/>
  <c r="H500" i="4"/>
  <c r="F500" i="4"/>
  <c r="I500" i="4"/>
  <c r="H504" i="4"/>
  <c r="I504" i="4"/>
  <c r="F504" i="4"/>
  <c r="H495" i="4"/>
  <c r="I495" i="4"/>
  <c r="F495" i="4"/>
  <c r="H509" i="4"/>
  <c r="F509" i="4"/>
  <c r="I509" i="4"/>
  <c r="H501" i="4"/>
  <c r="F501" i="4"/>
  <c r="I501" i="4"/>
  <c r="H493" i="4"/>
  <c r="F493" i="4"/>
  <c r="I493" i="4"/>
  <c r="H485" i="4"/>
  <c r="F485" i="4"/>
  <c r="I485" i="4"/>
  <c r="H477" i="4"/>
  <c r="F477" i="4"/>
  <c r="I477" i="4"/>
  <c r="H469" i="4"/>
  <c r="F469" i="4"/>
  <c r="I469" i="4"/>
  <c r="H461" i="4"/>
  <c r="F461" i="4"/>
  <c r="I461" i="4"/>
  <c r="H453" i="4"/>
  <c r="F453" i="4"/>
  <c r="I453" i="4"/>
  <c r="H445" i="4"/>
  <c r="F445" i="4"/>
  <c r="I445" i="4"/>
  <c r="H437" i="4"/>
  <c r="F437" i="4"/>
  <c r="I437" i="4"/>
  <c r="H429" i="4"/>
  <c r="F429" i="4"/>
  <c r="I429" i="4"/>
  <c r="H421" i="4"/>
  <c r="F421" i="4"/>
  <c r="I421" i="4"/>
  <c r="H416" i="4"/>
  <c r="F416" i="4"/>
  <c r="H36" i="1"/>
  <c r="B416" i="4" l="1" a="1"/>
  <c r="B416" i="4" s="1"/>
  <c r="B478" i="4" a="1"/>
  <c r="B478" i="4" s="1"/>
  <c r="B431" i="4" a="1"/>
  <c r="B431" i="4" s="1"/>
  <c r="B511" i="4" a="1"/>
  <c r="B511" i="4" s="1"/>
  <c r="B480" i="4" a="1"/>
  <c r="B480" i="4" s="1"/>
  <c r="B457" i="4" a="1"/>
  <c r="B457" i="4" s="1"/>
  <c r="B446" i="4" a="1"/>
  <c r="B446" i="4" s="1"/>
  <c r="B510" i="4" a="1"/>
  <c r="B510" i="4" s="1"/>
  <c r="B463" i="4" a="1"/>
  <c r="B463" i="4" s="1"/>
  <c r="B448" i="4" a="1"/>
  <c r="B448" i="4" s="1"/>
  <c r="B425" i="4" a="1"/>
  <c r="B425" i="4" s="1"/>
  <c r="B489" i="4" a="1"/>
  <c r="B489" i="4" s="1"/>
  <c r="B426" i="4" a="1"/>
  <c r="B426" i="4" s="1"/>
  <c r="B490" i="4" a="1"/>
  <c r="B490" i="4" s="1"/>
  <c r="B419" i="4" a="1"/>
  <c r="B419" i="4" s="1"/>
  <c r="B499" i="4" a="1"/>
  <c r="B499" i="4" s="1"/>
  <c r="B509" i="4" a="1"/>
  <c r="B509" i="4" s="1"/>
  <c r="B445" i="4" a="1"/>
  <c r="B445" i="4" s="1"/>
  <c r="B482" i="4" a="1"/>
  <c r="B482" i="4" s="1"/>
  <c r="B461" i="4" a="1"/>
  <c r="B461" i="4" s="1"/>
  <c r="B452" i="4" a="1"/>
  <c r="B452" i="4" s="1"/>
  <c r="B449" i="4" a="1"/>
  <c r="B449" i="4" s="1"/>
  <c r="B513" i="4" a="1"/>
  <c r="B513" i="4" s="1"/>
  <c r="B417" i="4" a="1"/>
  <c r="B417" i="4" s="1"/>
  <c r="B429" i="4" a="1"/>
  <c r="B429" i="4" s="1"/>
  <c r="B453" i="4" a="1"/>
  <c r="B453" i="4" s="1"/>
  <c r="B422" i="4" a="1"/>
  <c r="B422" i="4" s="1"/>
  <c r="B486" i="4" a="1"/>
  <c r="B486" i="4" s="1"/>
  <c r="B439" i="4" a="1"/>
  <c r="B439" i="4" s="1"/>
  <c r="B424" i="4" a="1"/>
  <c r="B424" i="4" s="1"/>
  <c r="B488" i="4" a="1"/>
  <c r="B488" i="4" s="1"/>
  <c r="B465" i="4" a="1"/>
  <c r="B465" i="4" s="1"/>
  <c r="B507" i="4" a="1"/>
  <c r="B507" i="4" s="1"/>
  <c r="B469" i="4" a="1"/>
  <c r="B469" i="4" s="1"/>
  <c r="B493" i="4" a="1"/>
  <c r="B493" i="4" s="1"/>
  <c r="B495" i="4" a="1"/>
  <c r="B495" i="4" s="1"/>
  <c r="B462" i="4" a="1"/>
  <c r="B462" i="4" s="1"/>
  <c r="B512" i="4" a="1"/>
  <c r="B512" i="4" s="1"/>
  <c r="B479" i="4" a="1"/>
  <c r="B479" i="4" s="1"/>
  <c r="B440" i="4" a="1"/>
  <c r="B440" i="4" s="1"/>
  <c r="B464" i="4" a="1"/>
  <c r="B464" i="4" s="1"/>
  <c r="B441" i="4" a="1"/>
  <c r="B441" i="4" s="1"/>
  <c r="B505" i="4" a="1"/>
  <c r="B505" i="4" s="1"/>
  <c r="B476" i="4" a="1"/>
  <c r="B476" i="4" s="1"/>
  <c r="B434" i="4" a="1"/>
  <c r="B434" i="4" s="1"/>
  <c r="B474" i="4" a="1"/>
  <c r="B474" i="4" s="1"/>
  <c r="B498" i="4" a="1"/>
  <c r="B498" i="4" s="1"/>
  <c r="B468" i="4" a="1"/>
  <c r="B468" i="4" s="1"/>
  <c r="B427" i="4" a="1"/>
  <c r="B427" i="4" s="1"/>
  <c r="B467" i="4" a="1"/>
  <c r="B467" i="4" s="1"/>
  <c r="B460" i="4" a="1"/>
  <c r="B460" i="4" s="1"/>
  <c r="B515" i="4" a="1"/>
  <c r="B515" i="4" s="1"/>
  <c r="B458" i="4" a="1"/>
  <c r="B458" i="4" s="1"/>
  <c r="B483" i="4" a="1"/>
  <c r="B483" i="4" s="1"/>
  <c r="B451" i="4" a="1"/>
  <c r="B451" i="4" s="1"/>
  <c r="B420" i="4" a="1"/>
  <c r="B420" i="4" s="1"/>
  <c r="B437" i="4" a="1"/>
  <c r="B437" i="4" s="1"/>
  <c r="B501" i="4" a="1"/>
  <c r="B501" i="4" s="1"/>
  <c r="B503" i="4" a="1"/>
  <c r="B503" i="4" s="1"/>
  <c r="B472" i="4" a="1"/>
  <c r="B472" i="4" s="1"/>
  <c r="B418" i="4" a="1"/>
  <c r="B418" i="4" s="1"/>
  <c r="B508" i="4" a="1"/>
  <c r="B508" i="4" s="1"/>
  <c r="B475" i="4" a="1"/>
  <c r="B475" i="4" s="1"/>
  <c r="B492" i="4" a="1"/>
  <c r="B492" i="4" s="1"/>
  <c r="B430" i="4" a="1"/>
  <c r="B430" i="4" s="1"/>
  <c r="B447" i="4" a="1"/>
  <c r="B447" i="4" s="1"/>
  <c r="B432" i="4" a="1"/>
  <c r="B432" i="4" s="1"/>
  <c r="B496" i="4" a="1"/>
  <c r="B496" i="4" s="1"/>
  <c r="B473" i="4" a="1"/>
  <c r="B473" i="4" s="1"/>
  <c r="B442" i="4" a="1"/>
  <c r="B442" i="4" s="1"/>
  <c r="B506" i="4" a="1"/>
  <c r="B506" i="4" s="1"/>
  <c r="B435" i="4" a="1"/>
  <c r="B435" i="4" s="1"/>
  <c r="B494" i="4" a="1"/>
  <c r="B494" i="4" s="1"/>
  <c r="B421" i="4" a="1"/>
  <c r="B421" i="4" s="1"/>
  <c r="B485" i="4" a="1"/>
  <c r="B485" i="4" s="1"/>
  <c r="B504" i="4" a="1"/>
  <c r="B504" i="4" s="1"/>
  <c r="B454" i="4" a="1"/>
  <c r="B454" i="4" s="1"/>
  <c r="B470" i="4" a="1"/>
  <c r="B470" i="4" s="1"/>
  <c r="B487" i="4" a="1"/>
  <c r="B487" i="4" s="1"/>
  <c r="B423" i="4" a="1"/>
  <c r="B423" i="4" s="1"/>
  <c r="B471" i="4" a="1"/>
  <c r="B471" i="4" s="1"/>
  <c r="B456" i="4" a="1"/>
  <c r="B456" i="4" s="1"/>
  <c r="B433" i="4" a="1"/>
  <c r="B433" i="4" s="1"/>
  <c r="B497" i="4" a="1"/>
  <c r="B497" i="4" s="1"/>
  <c r="B436" i="4" a="1"/>
  <c r="B436" i="4" s="1"/>
  <c r="B466" i="4" a="1"/>
  <c r="B466" i="4" s="1"/>
  <c r="B428" i="4" a="1"/>
  <c r="B428" i="4" s="1"/>
  <c r="B459" i="4" a="1"/>
  <c r="B459" i="4" s="1"/>
  <c r="B444" i="4" a="1"/>
  <c r="B444" i="4" s="1"/>
  <c r="B477" i="4" a="1"/>
  <c r="B477" i="4" s="1"/>
  <c r="B500" i="4" a="1"/>
  <c r="B500" i="4" s="1"/>
  <c r="B438" i="4" a="1"/>
  <c r="B438" i="4" s="1"/>
  <c r="B502" i="4" a="1"/>
  <c r="B502" i="4" s="1"/>
  <c r="B455" i="4" a="1"/>
  <c r="B455" i="4" s="1"/>
  <c r="B481" i="4" a="1"/>
  <c r="B481" i="4" s="1"/>
  <c r="B491" i="4" a="1"/>
  <c r="B491" i="4" s="1"/>
  <c r="B450" i="4" a="1"/>
  <c r="B450" i="4" s="1"/>
  <c r="B514" i="4" a="1"/>
  <c r="B514" i="4" s="1"/>
  <c r="B443" i="4" a="1"/>
  <c r="B443" i="4" s="1"/>
  <c r="B484" i="4" a="1"/>
  <c r="B484" i="4" s="1"/>
  <c r="C161" i="4" l="1"/>
  <c r="C160" i="4"/>
  <c r="B161" i="4"/>
  <c r="B160" i="4"/>
  <c r="B163" i="4"/>
  <c r="B159" i="4" l="1"/>
  <c r="B158" i="4"/>
  <c r="U209" i="4" l="1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B192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R208" i="4"/>
  <c r="R209" i="4"/>
  <c r="R210" i="4"/>
  <c r="R211" i="4"/>
  <c r="R212" i="4"/>
  <c r="R213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N208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J208" i="4"/>
  <c r="J209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B125" i="4"/>
  <c r="B179" i="4"/>
  <c r="B178" i="4"/>
  <c r="B168" i="4"/>
  <c r="B167" i="4"/>
  <c r="B145" i="4"/>
  <c r="B131" i="4"/>
  <c r="B133" i="4"/>
  <c r="J210" i="4" s="1"/>
  <c r="B134" i="4"/>
  <c r="B135" i="4"/>
  <c r="B139" i="4"/>
  <c r="B138" i="4"/>
  <c r="B144" i="4"/>
  <c r="B143" i="4"/>
  <c r="B142" i="4"/>
  <c r="B141" i="4"/>
  <c r="B137" i="4"/>
  <c r="E313" i="4"/>
  <c r="E314" i="4"/>
  <c r="E315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9" i="4"/>
  <c r="E410" i="4"/>
  <c r="E411" i="4"/>
  <c r="E312" i="4"/>
  <c r="E316" i="4"/>
  <c r="B7" i="5" l="1"/>
  <c r="B6" i="5"/>
  <c r="B5" i="5"/>
  <c r="B4" i="5"/>
  <c r="B3" i="5"/>
  <c r="B2" i="5"/>
  <c r="B180" i="4" l="1"/>
  <c r="B170" i="4"/>
  <c r="B188" i="4" l="1"/>
  <c r="Z11" i="4" l="1"/>
  <c r="Z13" i="4"/>
  <c r="Z16" i="4"/>
  <c r="Z18" i="4"/>
  <c r="Z21" i="4"/>
  <c r="Z24" i="4"/>
  <c r="Z26" i="4"/>
  <c r="Z27" i="4"/>
  <c r="Z29" i="4"/>
  <c r="Z32" i="4"/>
  <c r="Z34" i="4"/>
  <c r="Z35" i="4"/>
  <c r="Z37" i="4"/>
  <c r="Z39" i="4"/>
  <c r="Z40" i="4"/>
  <c r="Z42" i="4"/>
  <c r="Z43" i="4"/>
  <c r="Z45" i="4"/>
  <c r="Z48" i="4"/>
  <c r="Z50" i="4"/>
  <c r="Z51" i="4"/>
  <c r="Z54" i="4"/>
  <c r="Z56" i="4"/>
  <c r="Z58" i="4"/>
  <c r="Z59" i="4"/>
  <c r="Z60" i="4"/>
  <c r="Z62" i="4"/>
  <c r="Z64" i="4"/>
  <c r="Z66" i="4"/>
  <c r="Z67" i="4"/>
  <c r="Z70" i="4"/>
  <c r="Z72" i="4"/>
  <c r="Z74" i="4"/>
  <c r="Z75" i="4"/>
  <c r="Z76" i="4"/>
  <c r="Z78" i="4"/>
  <c r="Z80" i="4"/>
  <c r="Z82" i="4"/>
  <c r="Z83" i="4"/>
  <c r="Z84" i="4"/>
  <c r="Z86" i="4"/>
  <c r="Z87" i="4"/>
  <c r="Z88" i="4"/>
  <c r="Z90" i="4"/>
  <c r="Z91" i="4"/>
  <c r="Z92" i="4"/>
  <c r="Z94" i="4"/>
  <c r="Z96" i="4"/>
  <c r="Z98" i="4"/>
  <c r="Z99" i="4"/>
  <c r="Z100" i="4"/>
  <c r="Z102" i="4"/>
  <c r="Z104" i="4"/>
  <c r="Z106" i="4"/>
  <c r="Z107" i="4"/>
  <c r="Z108" i="4"/>
  <c r="Z109" i="4"/>
  <c r="U11" i="4" l="1"/>
  <c r="V11" i="4"/>
  <c r="T11" i="4"/>
  <c r="Y112" i="4"/>
  <c r="Z22" i="4"/>
  <c r="Z52" i="4"/>
  <c r="Z30" i="4"/>
  <c r="Z53" i="4"/>
  <c r="Z73" i="4"/>
  <c r="Z68" i="4"/>
  <c r="Z105" i="4"/>
  <c r="Z38" i="4"/>
  <c r="Z89" i="4"/>
  <c r="Z46" i="4"/>
  <c r="Z57" i="4"/>
  <c r="Z69" i="4"/>
  <c r="Z97" i="4"/>
  <c r="Z17" i="4"/>
  <c r="Z81" i="4"/>
  <c r="Z20" i="4"/>
  <c r="Z61" i="4"/>
  <c r="Z65" i="4"/>
  <c r="Z101" i="4"/>
  <c r="Z36" i="4"/>
  <c r="Z25" i="4"/>
  <c r="Z33" i="4"/>
  <c r="Z41" i="4"/>
  <c r="Z49" i="4"/>
  <c r="Z93" i="4"/>
  <c r="Z44" i="4"/>
  <c r="Z28" i="4"/>
  <c r="Z19" i="4"/>
  <c r="Z85" i="4"/>
  <c r="Z77" i="4"/>
  <c r="Z15" i="4"/>
  <c r="Z23" i="4"/>
  <c r="Z31" i="4"/>
  <c r="Z47" i="4"/>
  <c r="Z55" i="4"/>
  <c r="Z63" i="4"/>
  <c r="Z71" i="4"/>
  <c r="Z79" i="4"/>
  <c r="Z95" i="4"/>
  <c r="Z103" i="4"/>
  <c r="B8" i="1" l="1"/>
  <c r="I8" i="1" s="1"/>
  <c r="B124" i="4"/>
  <c r="R11" i="4" l="1"/>
  <c r="N11" i="4"/>
  <c r="O11" i="4" s="1"/>
  <c r="S11" i="4" l="1"/>
  <c r="Z14" i="4"/>
  <c r="Z12" i="4" l="1"/>
  <c r="B25" i="5"/>
  <c r="H11" i="4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I110" i="4" s="1"/>
  <c r="B11" i="4"/>
  <c r="X112" i="4" l="1"/>
  <c r="X113" i="4" s="1"/>
  <c r="Z110" i="4"/>
  <c r="I107" i="4"/>
  <c r="I99" i="4"/>
  <c r="I91" i="4"/>
  <c r="I83" i="4"/>
  <c r="I75" i="4"/>
  <c r="I67" i="4"/>
  <c r="I59" i="4"/>
  <c r="I51" i="4"/>
  <c r="I43" i="4"/>
  <c r="I35" i="4"/>
  <c r="I27" i="4"/>
  <c r="I19" i="4"/>
  <c r="I106" i="4"/>
  <c r="I98" i="4"/>
  <c r="I90" i="4"/>
  <c r="I82" i="4"/>
  <c r="I74" i="4"/>
  <c r="I66" i="4"/>
  <c r="I58" i="4"/>
  <c r="I50" i="4"/>
  <c r="I42" i="4"/>
  <c r="I34" i="4"/>
  <c r="I26" i="4"/>
  <c r="I18" i="4"/>
  <c r="I105" i="4"/>
  <c r="I97" i="4"/>
  <c r="I89" i="4"/>
  <c r="I81" i="4"/>
  <c r="I73" i="4"/>
  <c r="I65" i="4"/>
  <c r="I57" i="4"/>
  <c r="I49" i="4"/>
  <c r="I41" i="4"/>
  <c r="I33" i="4"/>
  <c r="I25" i="4"/>
  <c r="I17" i="4"/>
  <c r="I104" i="4"/>
  <c r="I96" i="4"/>
  <c r="I88" i="4"/>
  <c r="I80" i="4"/>
  <c r="I72" i="4"/>
  <c r="I64" i="4"/>
  <c r="I56" i="4"/>
  <c r="I48" i="4"/>
  <c r="I40" i="4"/>
  <c r="I32" i="4"/>
  <c r="I24" i="4"/>
  <c r="I16" i="4"/>
  <c r="I103" i="4"/>
  <c r="I95" i="4"/>
  <c r="I87" i="4"/>
  <c r="I79" i="4"/>
  <c r="I71" i="4"/>
  <c r="I63" i="4"/>
  <c r="I55" i="4"/>
  <c r="I47" i="4"/>
  <c r="I39" i="4"/>
  <c r="I31" i="4"/>
  <c r="I23" i="4"/>
  <c r="I15" i="4"/>
  <c r="I102" i="4"/>
  <c r="I86" i="4"/>
  <c r="I70" i="4"/>
  <c r="I62" i="4"/>
  <c r="I46" i="4"/>
  <c r="I30" i="4"/>
  <c r="I14" i="4"/>
  <c r="I109" i="4"/>
  <c r="I101" i="4"/>
  <c r="I93" i="4"/>
  <c r="I85" i="4"/>
  <c r="I77" i="4"/>
  <c r="I69" i="4"/>
  <c r="I61" i="4"/>
  <c r="I53" i="4"/>
  <c r="I45" i="4"/>
  <c r="I37" i="4"/>
  <c r="I29" i="4"/>
  <c r="I21" i="4"/>
  <c r="I13" i="4"/>
  <c r="I94" i="4"/>
  <c r="I78" i="4"/>
  <c r="I54" i="4"/>
  <c r="I38" i="4"/>
  <c r="I22" i="4"/>
  <c r="I108" i="4"/>
  <c r="I100" i="4"/>
  <c r="I92" i="4"/>
  <c r="I84" i="4"/>
  <c r="I76" i="4"/>
  <c r="I68" i="4"/>
  <c r="I60" i="4"/>
  <c r="I52" i="4"/>
  <c r="I44" i="4"/>
  <c r="I36" i="4"/>
  <c r="I28" i="4"/>
  <c r="I20" i="4"/>
  <c r="I12" i="4"/>
  <c r="I11" i="4"/>
  <c r="I112" i="4" l="1"/>
  <c r="N12" i="4" l="1"/>
  <c r="O12" i="4" s="1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K11" i="4"/>
  <c r="I208" i="4"/>
  <c r="I212" i="4"/>
  <c r="I209" i="4"/>
  <c r="I210" i="4"/>
  <c r="I211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K12" i="4" l="1"/>
  <c r="F11" i="4" l="1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Y208" i="4" l="1"/>
  <c r="X208" i="4"/>
  <c r="I522" i="4"/>
  <c r="J522" i="4" s="1"/>
  <c r="B522" i="4" s="1" a="1"/>
  <c r="B522" i="4" s="1"/>
  <c r="I531" i="4"/>
  <c r="B26" i="5"/>
  <c r="D26" i="5"/>
  <c r="J531" i="4" l="1"/>
  <c r="B531" i="4" s="1" a="1"/>
  <c r="B531" i="4" s="1"/>
  <c r="I521" i="4"/>
  <c r="J521" i="4" l="1"/>
  <c r="B521" i="4" s="1" a="1"/>
  <c r="B521" i="4" s="1"/>
  <c r="B17" i="5" l="1"/>
  <c r="H83" i="1"/>
  <c r="H57" i="1"/>
  <c r="H70" i="1"/>
  <c r="B19" i="5" l="1"/>
  <c r="H84" i="1"/>
  <c r="B14" i="5" s="1"/>
  <c r="B29" i="5"/>
  <c r="C29" i="5"/>
  <c r="D29" i="5" s="1"/>
  <c r="B16" i="5" l="1"/>
  <c r="Y209" i="4" l="1"/>
  <c r="X297" i="4" l="1"/>
  <c r="Y297" i="4"/>
  <c r="X304" i="4"/>
  <c r="Y304" i="4"/>
  <c r="X296" i="4"/>
  <c r="Y296" i="4"/>
  <c r="X288" i="4"/>
  <c r="Y288" i="4"/>
  <c r="X280" i="4"/>
  <c r="Y280" i="4"/>
  <c r="X272" i="4"/>
  <c r="Y272" i="4"/>
  <c r="X264" i="4"/>
  <c r="Y264" i="4"/>
  <c r="X256" i="4"/>
  <c r="Y256" i="4"/>
  <c r="X248" i="4"/>
  <c r="Y248" i="4"/>
  <c r="X240" i="4"/>
  <c r="Y240" i="4"/>
  <c r="X232" i="4"/>
  <c r="Y232" i="4"/>
  <c r="X224" i="4"/>
  <c r="Y224" i="4"/>
  <c r="X216" i="4"/>
  <c r="Y216" i="4"/>
  <c r="X305" i="4"/>
  <c r="Y305" i="4"/>
  <c r="X295" i="4"/>
  <c r="Y295" i="4"/>
  <c r="X287" i="4"/>
  <c r="Y287" i="4"/>
  <c r="X279" i="4"/>
  <c r="Y279" i="4"/>
  <c r="X271" i="4"/>
  <c r="Y271" i="4"/>
  <c r="X263" i="4"/>
  <c r="Y263" i="4"/>
  <c r="X255" i="4"/>
  <c r="Y255" i="4"/>
  <c r="X247" i="4"/>
  <c r="Y247" i="4"/>
  <c r="X239" i="4"/>
  <c r="Y239" i="4"/>
  <c r="X231" i="4"/>
  <c r="Y231" i="4"/>
  <c r="X223" i="4"/>
  <c r="Y223" i="4"/>
  <c r="X215" i="4"/>
  <c r="Y215" i="4"/>
  <c r="X303" i="4"/>
  <c r="Y303" i="4"/>
  <c r="X294" i="4"/>
  <c r="Y294" i="4"/>
  <c r="X286" i="4"/>
  <c r="Y286" i="4"/>
  <c r="X278" i="4"/>
  <c r="Y278" i="4"/>
  <c r="X270" i="4"/>
  <c r="Y270" i="4"/>
  <c r="X262" i="4"/>
  <c r="Y262" i="4"/>
  <c r="X254" i="4"/>
  <c r="Y254" i="4"/>
  <c r="X246" i="4"/>
  <c r="Y246" i="4"/>
  <c r="X238" i="4"/>
  <c r="Y238" i="4"/>
  <c r="X230" i="4"/>
  <c r="Y230" i="4"/>
  <c r="X222" i="4"/>
  <c r="Y222" i="4"/>
  <c r="X301" i="4"/>
  <c r="Y301" i="4"/>
  <c r="X293" i="4"/>
  <c r="Y293" i="4"/>
  <c r="X285" i="4"/>
  <c r="Y285" i="4"/>
  <c r="X277" i="4"/>
  <c r="Y277" i="4"/>
  <c r="X269" i="4"/>
  <c r="Y269" i="4"/>
  <c r="X261" i="4"/>
  <c r="Y261" i="4"/>
  <c r="X253" i="4"/>
  <c r="Y253" i="4"/>
  <c r="X245" i="4"/>
  <c r="Y245" i="4"/>
  <c r="X237" i="4"/>
  <c r="Y237" i="4"/>
  <c r="X229" i="4"/>
  <c r="Y229" i="4"/>
  <c r="X221" i="4"/>
  <c r="Y221" i="4"/>
  <c r="X302" i="4"/>
  <c r="Y302" i="4"/>
  <c r="X300" i="4"/>
  <c r="Y300" i="4"/>
  <c r="X292" i="4"/>
  <c r="Y292" i="4"/>
  <c r="X284" i="4"/>
  <c r="Y284" i="4"/>
  <c r="X276" i="4"/>
  <c r="Y276" i="4"/>
  <c r="X268" i="4"/>
  <c r="Y268" i="4"/>
  <c r="X260" i="4"/>
  <c r="Y260" i="4"/>
  <c r="X252" i="4"/>
  <c r="Y252" i="4"/>
  <c r="X244" i="4"/>
  <c r="Y244" i="4"/>
  <c r="X236" i="4"/>
  <c r="Y236" i="4"/>
  <c r="X228" i="4"/>
  <c r="Y228" i="4"/>
  <c r="X220" i="4"/>
  <c r="Y220" i="4"/>
  <c r="X212" i="4"/>
  <c r="Y212" i="4"/>
  <c r="X307" i="4"/>
  <c r="Y307" i="4"/>
  <c r="X299" i="4"/>
  <c r="Y299" i="4"/>
  <c r="X291" i="4"/>
  <c r="Y291" i="4"/>
  <c r="X283" i="4"/>
  <c r="Y283" i="4"/>
  <c r="X275" i="4"/>
  <c r="Y275" i="4"/>
  <c r="X267" i="4"/>
  <c r="Y267" i="4"/>
  <c r="X259" i="4"/>
  <c r="Y259" i="4"/>
  <c r="X251" i="4"/>
  <c r="Y251" i="4"/>
  <c r="X243" i="4"/>
  <c r="Y243" i="4"/>
  <c r="X235" i="4"/>
  <c r="Y235" i="4"/>
  <c r="X227" i="4"/>
  <c r="Y227" i="4"/>
  <c r="X219" i="4"/>
  <c r="Y219" i="4"/>
  <c r="X211" i="4"/>
  <c r="Y211" i="4"/>
  <c r="X306" i="4"/>
  <c r="Y306" i="4"/>
  <c r="X298" i="4"/>
  <c r="Y298" i="4"/>
  <c r="X290" i="4"/>
  <c r="Y290" i="4"/>
  <c r="X282" i="4"/>
  <c r="Y282" i="4"/>
  <c r="X274" i="4"/>
  <c r="Y274" i="4"/>
  <c r="X266" i="4"/>
  <c r="Y266" i="4"/>
  <c r="X258" i="4"/>
  <c r="Y258" i="4"/>
  <c r="X250" i="4"/>
  <c r="Y250" i="4"/>
  <c r="X242" i="4"/>
  <c r="Y242" i="4"/>
  <c r="X234" i="4"/>
  <c r="Y234" i="4"/>
  <c r="X226" i="4"/>
  <c r="Y226" i="4"/>
  <c r="X218" i="4"/>
  <c r="Y218" i="4"/>
  <c r="X210" i="4"/>
  <c r="Y210" i="4"/>
  <c r="X289" i="4"/>
  <c r="Y289" i="4"/>
  <c r="X281" i="4"/>
  <c r="Y281" i="4"/>
  <c r="X273" i="4"/>
  <c r="Y273" i="4"/>
  <c r="X265" i="4"/>
  <c r="Y265" i="4"/>
  <c r="X257" i="4"/>
  <c r="Y257" i="4"/>
  <c r="X249" i="4"/>
  <c r="Y249" i="4"/>
  <c r="X241" i="4"/>
  <c r="Y241" i="4"/>
  <c r="X233" i="4"/>
  <c r="Y233" i="4"/>
  <c r="X225" i="4"/>
  <c r="Y225" i="4"/>
  <c r="X217" i="4"/>
  <c r="Y217" i="4"/>
  <c r="X213" i="4"/>
  <c r="Y213" i="4"/>
  <c r="X214" i="4"/>
  <c r="Y214" i="4"/>
  <c r="X209" i="4"/>
  <c r="L11" i="4"/>
  <c r="C11" i="4"/>
  <c r="L12" i="4"/>
  <c r="B289" i="4" l="1" a="1"/>
  <c r="B289" i="4" s="1"/>
  <c r="B252" i="4" a="1"/>
  <c r="B252" i="4" s="1"/>
  <c r="B298" i="4" a="1"/>
  <c r="B298" i="4" s="1"/>
  <c r="B259" i="4" a="1"/>
  <c r="B259" i="4" s="1"/>
  <c r="B284" i="4" a="1"/>
  <c r="B284" i="4" s="1"/>
  <c r="B221" i="4" a="1"/>
  <c r="B221" i="4" s="1"/>
  <c r="B266" i="4" a="1"/>
  <c r="B266" i="4" s="1"/>
  <c r="B225" i="4" a="1"/>
  <c r="B225" i="4" s="1"/>
  <c r="B220" i="4" a="1"/>
  <c r="B220" i="4" s="1"/>
  <c r="B234" i="4" a="1"/>
  <c r="B234" i="4" s="1"/>
  <c r="B291" i="4" a="1"/>
  <c r="B291" i="4" s="1"/>
  <c r="B257" i="4" a="1"/>
  <c r="B257" i="4" s="1"/>
  <c r="B227" i="4" a="1"/>
  <c r="B227" i="4" s="1"/>
  <c r="B253" i="4" a="1"/>
  <c r="B253" i="4" s="1"/>
  <c r="B213" i="4" a="1"/>
  <c r="B213" i="4" s="1"/>
  <c r="B250" i="4" a="1"/>
  <c r="B250" i="4" s="1"/>
  <c r="B275" i="4" a="1"/>
  <c r="B275" i="4" s="1"/>
  <c r="B218" i="4" a="1"/>
  <c r="B218" i="4" s="1"/>
  <c r="B243" i="4" a="1"/>
  <c r="B243" i="4" s="1"/>
  <c r="B282" i="4" a="1"/>
  <c r="B282" i="4" s="1"/>
  <c r="B211" i="4" a="1"/>
  <c r="B211" i="4" s="1"/>
  <c r="B307" i="4" a="1"/>
  <c r="B307" i="4" s="1"/>
  <c r="B236" i="4" a="1"/>
  <c r="B236" i="4" s="1"/>
  <c r="B268" i="4" a="1"/>
  <c r="B268" i="4" s="1"/>
  <c r="B300" i="4" a="1"/>
  <c r="B300" i="4" s="1"/>
  <c r="B237" i="4" a="1"/>
  <c r="B237" i="4" s="1"/>
  <c r="B285" i="4" a="1"/>
  <c r="B285" i="4" s="1"/>
  <c r="B230" i="4" a="1"/>
  <c r="B230" i="4" s="1"/>
  <c r="B262" i="4" a="1"/>
  <c r="B262" i="4" s="1"/>
  <c r="B294" i="4" a="1"/>
  <c r="B294" i="4" s="1"/>
  <c r="B231" i="4" a="1"/>
  <c r="B231" i="4" s="1"/>
  <c r="B263" i="4" a="1"/>
  <c r="B263" i="4" s="1"/>
  <c r="B295" i="4" a="1"/>
  <c r="B295" i="4" s="1"/>
  <c r="B269" i="4" a="1"/>
  <c r="B269" i="4" s="1"/>
  <c r="B301" i="4" a="1"/>
  <c r="B301" i="4" s="1"/>
  <c r="B247" i="4" a="1"/>
  <c r="B247" i="4" s="1"/>
  <c r="B216" i="4" a="1"/>
  <c r="B216" i="4" s="1"/>
  <c r="B248" i="4" a="1"/>
  <c r="B248" i="4" s="1"/>
  <c r="B280" i="4" a="1"/>
  <c r="B280" i="4" s="1"/>
  <c r="B297" i="4" a="1"/>
  <c r="B297" i="4" s="1"/>
  <c r="B279" i="4" a="1"/>
  <c r="B279" i="4" s="1"/>
  <c r="B232" i="4" a="1"/>
  <c r="B232" i="4" s="1"/>
  <c r="B233" i="4" a="1"/>
  <c r="B233" i="4" s="1"/>
  <c r="B210" i="4" a="1"/>
  <c r="B210" i="4" s="1"/>
  <c r="B265" i="4" a="1"/>
  <c r="B265" i="4" s="1"/>
  <c r="B242" i="4" a="1"/>
  <c r="B242" i="4" s="1"/>
  <c r="B274" i="4" a="1"/>
  <c r="B274" i="4" s="1"/>
  <c r="B306" i="4" a="1"/>
  <c r="B306" i="4" s="1"/>
  <c r="B235" i="4" a="1"/>
  <c r="B235" i="4" s="1"/>
  <c r="B264" i="4" a="1"/>
  <c r="B264" i="4" s="1"/>
  <c r="B267" i="4" a="1"/>
  <c r="B267" i="4" s="1"/>
  <c r="B299" i="4" a="1"/>
  <c r="B299" i="4" s="1"/>
  <c r="B228" i="4" a="1"/>
  <c r="B228" i="4" s="1"/>
  <c r="B260" i="4" a="1"/>
  <c r="B260" i="4" s="1"/>
  <c r="B292" i="4" a="1"/>
  <c r="B292" i="4" s="1"/>
  <c r="B296" i="4" a="1"/>
  <c r="B296" i="4" s="1"/>
  <c r="B229" i="4" a="1"/>
  <c r="B229" i="4" s="1"/>
  <c r="B261" i="4" a="1"/>
  <c r="B261" i="4" s="1"/>
  <c r="B246" i="4" a="1"/>
  <c r="B246" i="4" s="1"/>
  <c r="B278" i="4" a="1"/>
  <c r="B278" i="4" s="1"/>
  <c r="B215" i="4" a="1"/>
  <c r="B215" i="4" s="1"/>
  <c r="B238" i="4" a="1"/>
  <c r="B238" i="4" s="1"/>
  <c r="B303" i="4" a="1"/>
  <c r="B303" i="4" s="1"/>
  <c r="B271" i="4" a="1"/>
  <c r="B271" i="4" s="1"/>
  <c r="B305" i="4" a="1"/>
  <c r="B305" i="4" s="1"/>
  <c r="B240" i="4" a="1"/>
  <c r="B240" i="4" s="1"/>
  <c r="B272" i="4" a="1"/>
  <c r="B272" i="4" s="1"/>
  <c r="B304" i="4" a="1"/>
  <c r="B304" i="4" s="1"/>
  <c r="B293" i="4" a="1"/>
  <c r="B293" i="4" s="1"/>
  <c r="B270" i="4" a="1"/>
  <c r="B270" i="4" s="1"/>
  <c r="B239" i="4" a="1"/>
  <c r="B239" i="4" s="1"/>
  <c r="B249" i="4" a="1"/>
  <c r="B249" i="4" s="1"/>
  <c r="B226" i="4" a="1"/>
  <c r="B226" i="4" s="1"/>
  <c r="B290" i="4" a="1"/>
  <c r="B290" i="4" s="1"/>
  <c r="B219" i="4" a="1"/>
  <c r="B219" i="4" s="1"/>
  <c r="B251" i="4" a="1"/>
  <c r="B251" i="4" s="1"/>
  <c r="B283" i="4" a="1"/>
  <c r="B283" i="4" s="1"/>
  <c r="B212" i="4" a="1"/>
  <c r="B212" i="4" s="1"/>
  <c r="B244" i="4" a="1"/>
  <c r="B244" i="4" s="1"/>
  <c r="B276" i="4" a="1"/>
  <c r="B276" i="4" s="1"/>
  <c r="B302" i="4" a="1"/>
  <c r="B302" i="4" s="1"/>
  <c r="B245" i="4" a="1"/>
  <c r="B245" i="4" s="1"/>
  <c r="B277" i="4" a="1"/>
  <c r="B277" i="4" s="1"/>
  <c r="B222" i="4" a="1"/>
  <c r="B222" i="4" s="1"/>
  <c r="B254" i="4" a="1"/>
  <c r="B254" i="4" s="1"/>
  <c r="B286" i="4" a="1"/>
  <c r="B286" i="4" s="1"/>
  <c r="B223" i="4" a="1"/>
  <c r="B223" i="4" s="1"/>
  <c r="B255" i="4" a="1"/>
  <c r="B255" i="4" s="1"/>
  <c r="B287" i="4" a="1"/>
  <c r="B287" i="4" s="1"/>
  <c r="B224" i="4" a="1"/>
  <c r="B224" i="4" s="1"/>
  <c r="B256" i="4" a="1"/>
  <c r="B256" i="4" s="1"/>
  <c r="B288" i="4" a="1"/>
  <c r="B288" i="4" s="1"/>
  <c r="B217" i="4" a="1"/>
  <c r="B217" i="4" s="1"/>
  <c r="B241" i="4" a="1"/>
  <c r="B241" i="4" s="1"/>
  <c r="B281" i="4" a="1"/>
  <c r="B281" i="4" s="1"/>
  <c r="B258" i="4" a="1"/>
  <c r="B258" i="4" s="1"/>
  <c r="B273" i="4" a="1"/>
  <c r="B273" i="4" s="1"/>
  <c r="C27" i="5" l="1"/>
  <c r="B27" i="5"/>
  <c r="D27" i="5" l="1"/>
  <c r="F312" i="4"/>
  <c r="F398" i="4" l="1"/>
  <c r="H398" i="4"/>
  <c r="I398" i="4"/>
  <c r="F390" i="4"/>
  <c r="H390" i="4"/>
  <c r="I390" i="4"/>
  <c r="F382" i="4"/>
  <c r="H382" i="4"/>
  <c r="I382" i="4"/>
  <c r="F374" i="4"/>
  <c r="H374" i="4"/>
  <c r="I374" i="4"/>
  <c r="F366" i="4"/>
  <c r="H366" i="4"/>
  <c r="I366" i="4"/>
  <c r="F358" i="4"/>
  <c r="H358" i="4"/>
  <c r="I358" i="4"/>
  <c r="F350" i="4"/>
  <c r="H350" i="4"/>
  <c r="I350" i="4"/>
  <c r="F342" i="4"/>
  <c r="H342" i="4"/>
  <c r="I342" i="4"/>
  <c r="F334" i="4"/>
  <c r="H334" i="4"/>
  <c r="I334" i="4"/>
  <c r="F326" i="4"/>
  <c r="H326" i="4"/>
  <c r="I326" i="4"/>
  <c r="F318" i="4"/>
  <c r="H318" i="4"/>
  <c r="I318" i="4"/>
  <c r="F389" i="4"/>
  <c r="H389" i="4"/>
  <c r="I389" i="4"/>
  <c r="F381" i="4"/>
  <c r="H381" i="4"/>
  <c r="I381" i="4"/>
  <c r="F373" i="4"/>
  <c r="H373" i="4"/>
  <c r="I373" i="4"/>
  <c r="F365" i="4"/>
  <c r="H365" i="4"/>
  <c r="I365" i="4"/>
  <c r="F357" i="4"/>
  <c r="H357" i="4"/>
  <c r="I357" i="4"/>
  <c r="F349" i="4"/>
  <c r="H349" i="4"/>
  <c r="I349" i="4"/>
  <c r="F341" i="4"/>
  <c r="H341" i="4"/>
  <c r="I341" i="4"/>
  <c r="F333" i="4"/>
  <c r="H333" i="4"/>
  <c r="I333" i="4"/>
  <c r="F325" i="4"/>
  <c r="H325" i="4"/>
  <c r="I325" i="4"/>
  <c r="F317" i="4"/>
  <c r="H317" i="4"/>
  <c r="I317" i="4"/>
  <c r="F405" i="4"/>
  <c r="H405" i="4"/>
  <c r="I405" i="4"/>
  <c r="H388" i="4"/>
  <c r="I388" i="4"/>
  <c r="F388" i="4"/>
  <c r="H380" i="4"/>
  <c r="I380" i="4"/>
  <c r="F380" i="4"/>
  <c r="H372" i="4"/>
  <c r="I372" i="4"/>
  <c r="F372" i="4"/>
  <c r="H364" i="4"/>
  <c r="I364" i="4"/>
  <c r="F364" i="4"/>
  <c r="H356" i="4"/>
  <c r="I356" i="4"/>
  <c r="F356" i="4"/>
  <c r="H348" i="4"/>
  <c r="I348" i="4"/>
  <c r="F348" i="4"/>
  <c r="H340" i="4"/>
  <c r="I340" i="4"/>
  <c r="F340" i="4"/>
  <c r="H332" i="4"/>
  <c r="I332" i="4"/>
  <c r="F332" i="4"/>
  <c r="H324" i="4"/>
  <c r="I324" i="4"/>
  <c r="F324" i="4"/>
  <c r="H316" i="4"/>
  <c r="I316" i="4"/>
  <c r="F316" i="4"/>
  <c r="H396" i="4"/>
  <c r="F396" i="4"/>
  <c r="I396" i="4"/>
  <c r="H411" i="4"/>
  <c r="F411" i="4"/>
  <c r="I411" i="4"/>
  <c r="H403" i="4"/>
  <c r="F403" i="4"/>
  <c r="I403" i="4"/>
  <c r="H395" i="4"/>
  <c r="F395" i="4"/>
  <c r="I395" i="4"/>
  <c r="H387" i="4"/>
  <c r="I387" i="4"/>
  <c r="F387" i="4"/>
  <c r="H379" i="4"/>
  <c r="I379" i="4"/>
  <c r="F379" i="4"/>
  <c r="H371" i="4"/>
  <c r="I371" i="4"/>
  <c r="F371" i="4"/>
  <c r="H363" i="4"/>
  <c r="I363" i="4"/>
  <c r="F363" i="4"/>
  <c r="H355" i="4"/>
  <c r="I355" i="4"/>
  <c r="F355" i="4"/>
  <c r="H347" i="4"/>
  <c r="I347" i="4"/>
  <c r="F347" i="4"/>
  <c r="H339" i="4"/>
  <c r="I339" i="4"/>
  <c r="F339" i="4"/>
  <c r="H331" i="4"/>
  <c r="I331" i="4"/>
  <c r="F331" i="4"/>
  <c r="H323" i="4"/>
  <c r="I323" i="4"/>
  <c r="F323" i="4"/>
  <c r="H315" i="4"/>
  <c r="I315" i="4"/>
  <c r="F315" i="4"/>
  <c r="H404" i="4"/>
  <c r="F404" i="4"/>
  <c r="I404" i="4"/>
  <c r="H402" i="4"/>
  <c r="F402" i="4"/>
  <c r="I402" i="4"/>
  <c r="H394" i="4"/>
  <c r="F394" i="4"/>
  <c r="I394" i="4"/>
  <c r="H386" i="4"/>
  <c r="I386" i="4"/>
  <c r="F386" i="4"/>
  <c r="H378" i="4"/>
  <c r="I378" i="4"/>
  <c r="F378" i="4"/>
  <c r="H370" i="4"/>
  <c r="I370" i="4"/>
  <c r="F370" i="4"/>
  <c r="H362" i="4"/>
  <c r="I362" i="4"/>
  <c r="F362" i="4"/>
  <c r="H354" i="4"/>
  <c r="I354" i="4"/>
  <c r="F354" i="4"/>
  <c r="H346" i="4"/>
  <c r="I346" i="4"/>
  <c r="F346" i="4"/>
  <c r="H338" i="4"/>
  <c r="I338" i="4"/>
  <c r="F338" i="4"/>
  <c r="H330" i="4"/>
  <c r="I330" i="4"/>
  <c r="F330" i="4"/>
  <c r="H322" i="4"/>
  <c r="I322" i="4"/>
  <c r="F322" i="4"/>
  <c r="H314" i="4"/>
  <c r="I314" i="4"/>
  <c r="F314" i="4"/>
  <c r="F397" i="4"/>
  <c r="H397" i="4"/>
  <c r="I397" i="4"/>
  <c r="H410" i="4"/>
  <c r="F410" i="4"/>
  <c r="I410" i="4"/>
  <c r="F409" i="4"/>
  <c r="H409" i="4"/>
  <c r="I409" i="4"/>
  <c r="F401" i="4"/>
  <c r="H401" i="4"/>
  <c r="I401" i="4"/>
  <c r="F393" i="4"/>
  <c r="H393" i="4"/>
  <c r="I393" i="4"/>
  <c r="F385" i="4"/>
  <c r="H385" i="4"/>
  <c r="I385" i="4"/>
  <c r="I377" i="4"/>
  <c r="F377" i="4"/>
  <c r="H377" i="4"/>
  <c r="I369" i="4"/>
  <c r="F369" i="4"/>
  <c r="H369" i="4"/>
  <c r="I361" i="4"/>
  <c r="F361" i="4"/>
  <c r="H361" i="4"/>
  <c r="I353" i="4"/>
  <c r="F353" i="4"/>
  <c r="H353" i="4"/>
  <c r="I345" i="4"/>
  <c r="F345" i="4"/>
  <c r="H345" i="4"/>
  <c r="I337" i="4"/>
  <c r="F337" i="4"/>
  <c r="H337" i="4"/>
  <c r="I329" i="4"/>
  <c r="F329" i="4"/>
  <c r="H329" i="4"/>
  <c r="I321" i="4"/>
  <c r="F321" i="4"/>
  <c r="H321" i="4"/>
  <c r="I313" i="4"/>
  <c r="F313" i="4"/>
  <c r="H313" i="4"/>
  <c r="F400" i="4"/>
  <c r="H400" i="4"/>
  <c r="I400" i="4"/>
  <c r="I384" i="4"/>
  <c r="F384" i="4"/>
  <c r="H384" i="4"/>
  <c r="I376" i="4"/>
  <c r="F376" i="4"/>
  <c r="H376" i="4"/>
  <c r="I368" i="4"/>
  <c r="F368" i="4"/>
  <c r="H368" i="4"/>
  <c r="I360" i="4"/>
  <c r="F360" i="4"/>
  <c r="H360" i="4"/>
  <c r="I352" i="4"/>
  <c r="F352" i="4"/>
  <c r="H352" i="4"/>
  <c r="I344" i="4"/>
  <c r="F344" i="4"/>
  <c r="H344" i="4"/>
  <c r="I336" i="4"/>
  <c r="F336" i="4"/>
  <c r="H336" i="4"/>
  <c r="I328" i="4"/>
  <c r="F328" i="4"/>
  <c r="H328" i="4"/>
  <c r="I320" i="4"/>
  <c r="F320" i="4"/>
  <c r="H320" i="4"/>
  <c r="F406" i="4"/>
  <c r="H406" i="4"/>
  <c r="I406" i="4"/>
  <c r="F408" i="4"/>
  <c r="I408" i="4"/>
  <c r="H408" i="4"/>
  <c r="F392" i="4"/>
  <c r="H392" i="4"/>
  <c r="I392" i="4"/>
  <c r="F407" i="4"/>
  <c r="H407" i="4"/>
  <c r="I407" i="4"/>
  <c r="F399" i="4"/>
  <c r="H399" i="4"/>
  <c r="I399" i="4"/>
  <c r="F391" i="4"/>
  <c r="H391" i="4"/>
  <c r="I391" i="4"/>
  <c r="I383" i="4"/>
  <c r="F383" i="4"/>
  <c r="H383" i="4"/>
  <c r="I375" i="4"/>
  <c r="F375" i="4"/>
  <c r="H375" i="4"/>
  <c r="I367" i="4"/>
  <c r="F367" i="4"/>
  <c r="H367" i="4"/>
  <c r="I359" i="4"/>
  <c r="F359" i="4"/>
  <c r="H359" i="4"/>
  <c r="I351" i="4"/>
  <c r="F351" i="4"/>
  <c r="H351" i="4"/>
  <c r="I343" i="4"/>
  <c r="F343" i="4"/>
  <c r="H343" i="4"/>
  <c r="I335" i="4"/>
  <c r="F335" i="4"/>
  <c r="H335" i="4"/>
  <c r="I327" i="4"/>
  <c r="F327" i="4"/>
  <c r="H327" i="4"/>
  <c r="I319" i="4"/>
  <c r="F319" i="4"/>
  <c r="H319" i="4"/>
  <c r="I312" i="4"/>
  <c r="H312" i="4"/>
  <c r="I30" i="1"/>
  <c r="I29" i="1"/>
  <c r="I21" i="1"/>
  <c r="I28" i="1"/>
  <c r="I20" i="1"/>
  <c r="I22" i="1"/>
  <c r="I35" i="1"/>
  <c r="I18" i="1"/>
  <c r="I33" i="1"/>
  <c r="I25" i="1"/>
  <c r="I17" i="1"/>
  <c r="I19" i="1"/>
  <c r="I34" i="1"/>
  <c r="I32" i="1"/>
  <c r="I24" i="1"/>
  <c r="I16" i="1"/>
  <c r="I27" i="1"/>
  <c r="I26" i="1"/>
  <c r="I31" i="1"/>
  <c r="I23" i="1"/>
  <c r="B13" i="5"/>
  <c r="B313" i="4" l="1" a="1"/>
  <c r="B313" i="4" s="1"/>
  <c r="B321" i="4" a="1"/>
  <c r="B321" i="4" s="1"/>
  <c r="B335" i="4" a="1"/>
  <c r="B335" i="4" s="1"/>
  <c r="B370" i="4" a="1"/>
  <c r="B370" i="4" s="1"/>
  <c r="B331" i="4" a="1"/>
  <c r="B331" i="4" s="1"/>
  <c r="B348" i="4" a="1"/>
  <c r="B348" i="4" s="1"/>
  <c r="B312" i="4" a="1"/>
  <c r="B312" i="4" s="1"/>
  <c r="B344" i="4" a="1"/>
  <c r="B344" i="4" s="1"/>
  <c r="B362" i="4" a="1"/>
  <c r="B362" i="4" s="1"/>
  <c r="B402" i="4" a="1"/>
  <c r="B402" i="4" s="1"/>
  <c r="B323" i="4" a="1"/>
  <c r="B323" i="4" s="1"/>
  <c r="B387" i="4" a="1"/>
  <c r="B387" i="4" s="1"/>
  <c r="B340" i="4" a="1"/>
  <c r="B340" i="4" s="1"/>
  <c r="B333" i="4" a="1"/>
  <c r="B333" i="4" s="1"/>
  <c r="B382" i="4" a="1"/>
  <c r="B382" i="4" s="1"/>
  <c r="B351" i="4" a="1"/>
  <c r="B351" i="4" s="1"/>
  <c r="B391" i="4" a="1"/>
  <c r="B391" i="4" s="1"/>
  <c r="B360" i="4" a="1"/>
  <c r="B360" i="4" s="1"/>
  <c r="B337" i="4" a="1"/>
  <c r="B337" i="4" s="1"/>
  <c r="B404" i="4" a="1"/>
  <c r="B404" i="4" s="1"/>
  <c r="B341" i="4" a="1"/>
  <c r="B341" i="4" s="1"/>
  <c r="B326" i="4" a="1"/>
  <c r="B326" i="4" s="1"/>
  <c r="B390" i="4" a="1"/>
  <c r="B390" i="4" s="1"/>
  <c r="B349" i="4" a="1"/>
  <c r="B349" i="4" s="1"/>
  <c r="B334" i="4" a="1"/>
  <c r="B334" i="4" s="1"/>
  <c r="B329" i="4" a="1"/>
  <c r="B329" i="4" s="1"/>
  <c r="B352" i="4" a="1"/>
  <c r="B352" i="4" s="1"/>
  <c r="B354" i="4" a="1"/>
  <c r="B354" i="4" s="1"/>
  <c r="B394" i="4" a="1"/>
  <c r="B394" i="4" s="1"/>
  <c r="B315" i="4" a="1"/>
  <c r="B315" i="4" s="1"/>
  <c r="B343" i="4" a="1"/>
  <c r="B343" i="4" s="1"/>
  <c r="B400" i="4" a="1"/>
  <c r="B400" i="4" s="1"/>
  <c r="B398" i="4" a="1"/>
  <c r="B398" i="4" s="1"/>
  <c r="B367" i="4" a="1"/>
  <c r="B367" i="4" s="1"/>
  <c r="B407" i="4" a="1"/>
  <c r="B407" i="4" s="1"/>
  <c r="B376" i="4" a="1"/>
  <c r="B376" i="4" s="1"/>
  <c r="B353" i="4" a="1"/>
  <c r="B353" i="4" s="1"/>
  <c r="B393" i="4" a="1"/>
  <c r="B393" i="4" s="1"/>
  <c r="B410" i="4" a="1"/>
  <c r="B410" i="4" s="1"/>
  <c r="B322" i="4" a="1"/>
  <c r="B322" i="4" s="1"/>
  <c r="B386" i="4" a="1"/>
  <c r="B386" i="4" s="1"/>
  <c r="B347" i="4" a="1"/>
  <c r="B347" i="4" s="1"/>
  <c r="B364" i="4" a="1"/>
  <c r="B364" i="4" s="1"/>
  <c r="B357" i="4" a="1"/>
  <c r="B357" i="4" s="1"/>
  <c r="B342" i="4" a="1"/>
  <c r="B342" i="4" s="1"/>
  <c r="B327" i="4" a="1"/>
  <c r="B327" i="4" s="1"/>
  <c r="B406" i="4" a="1"/>
  <c r="B406" i="4" s="1"/>
  <c r="B336" i="4" a="1"/>
  <c r="B336" i="4" s="1"/>
  <c r="B377" i="4" a="1"/>
  <c r="B377" i="4" s="1"/>
  <c r="B346" i="4" a="1"/>
  <c r="B346" i="4" s="1"/>
  <c r="B371" i="4" a="1"/>
  <c r="B371" i="4" s="1"/>
  <c r="B411" i="4" a="1"/>
  <c r="B411" i="4" s="1"/>
  <c r="B324" i="4" a="1"/>
  <c r="B324" i="4" s="1"/>
  <c r="B388" i="4" a="1"/>
  <c r="B388" i="4" s="1"/>
  <c r="B317" i="4" a="1"/>
  <c r="B317" i="4" s="1"/>
  <c r="B381" i="4" a="1"/>
  <c r="B381" i="4" s="1"/>
  <c r="B366" i="4" a="1"/>
  <c r="B366" i="4" s="1"/>
  <c r="B375" i="4" a="1"/>
  <c r="B375" i="4" s="1"/>
  <c r="B392" i="4" a="1"/>
  <c r="B392" i="4" s="1"/>
  <c r="B320" i="4" a="1"/>
  <c r="B320" i="4" s="1"/>
  <c r="B384" i="4" a="1"/>
  <c r="B384" i="4" s="1"/>
  <c r="B361" i="4" a="1"/>
  <c r="B361" i="4" s="1"/>
  <c r="B401" i="4" a="1"/>
  <c r="B401" i="4" s="1"/>
  <c r="B330" i="4" a="1"/>
  <c r="B330" i="4" s="1"/>
  <c r="B355" i="4" a="1"/>
  <c r="B355" i="4" s="1"/>
  <c r="B395" i="4" a="1"/>
  <c r="B395" i="4" s="1"/>
  <c r="B372" i="4" a="1"/>
  <c r="B372" i="4" s="1"/>
  <c r="B365" i="4" a="1"/>
  <c r="B365" i="4" s="1"/>
  <c r="B350" i="4" a="1"/>
  <c r="B350" i="4" s="1"/>
  <c r="B397" i="4" a="1"/>
  <c r="B397" i="4" s="1"/>
  <c r="B379" i="4" a="1"/>
  <c r="B379" i="4" s="1"/>
  <c r="B396" i="4" a="1"/>
  <c r="B396" i="4" s="1"/>
  <c r="B332" i="4" a="1"/>
  <c r="B332" i="4" s="1"/>
  <c r="B325" i="4" a="1"/>
  <c r="B325" i="4" s="1"/>
  <c r="B389" i="4" a="1"/>
  <c r="B389" i="4" s="1"/>
  <c r="B374" i="4" a="1"/>
  <c r="B374" i="4" s="1"/>
  <c r="B359" i="4" a="1"/>
  <c r="B359" i="4" s="1"/>
  <c r="B399" i="4" a="1"/>
  <c r="B399" i="4" s="1"/>
  <c r="B368" i="4" a="1"/>
  <c r="B368" i="4" s="1"/>
  <c r="B345" i="4" a="1"/>
  <c r="B345" i="4" s="1"/>
  <c r="B385" i="4" a="1"/>
  <c r="B385" i="4" s="1"/>
  <c r="B314" i="4" a="1"/>
  <c r="B314" i="4" s="1"/>
  <c r="B378" i="4" a="1"/>
  <c r="B378" i="4" s="1"/>
  <c r="B339" i="4" a="1"/>
  <c r="B339" i="4" s="1"/>
  <c r="B356" i="4" a="1"/>
  <c r="B356" i="4" s="1"/>
  <c r="B318" i="4" a="1"/>
  <c r="B318" i="4" s="1"/>
  <c r="B319" i="4" a="1"/>
  <c r="B319" i="4" s="1"/>
  <c r="B383" i="4" a="1"/>
  <c r="B383" i="4" s="1"/>
  <c r="B408" i="4" a="1"/>
  <c r="B408" i="4" s="1"/>
  <c r="B328" i="4" a="1"/>
  <c r="B328" i="4" s="1"/>
  <c r="B369" i="4" a="1"/>
  <c r="B369" i="4" s="1"/>
  <c r="B409" i="4" a="1"/>
  <c r="B409" i="4" s="1"/>
  <c r="B338" i="4" a="1"/>
  <c r="B338" i="4" s="1"/>
  <c r="B363" i="4" a="1"/>
  <c r="B363" i="4" s="1"/>
  <c r="B403" i="4" a="1"/>
  <c r="B403" i="4" s="1"/>
  <c r="B316" i="4" a="1"/>
  <c r="B316" i="4" s="1"/>
  <c r="B380" i="4" a="1"/>
  <c r="B380" i="4" s="1"/>
  <c r="B405" i="4" a="1"/>
  <c r="B405" i="4" s="1"/>
  <c r="B373" i="4" a="1"/>
  <c r="B373" i="4" s="1"/>
  <c r="B358" i="4" a="1"/>
  <c r="B358" i="4" s="1"/>
  <c r="A527" i="3"/>
  <c r="C526" i="3" s="1"/>
  <c r="A526" i="3"/>
  <c r="C525" i="3" s="1"/>
  <c r="A523" i="3"/>
  <c r="C522" i="3" s="1"/>
  <c r="A521" i="3"/>
  <c r="C520" i="3" s="1"/>
  <c r="A524" i="3"/>
  <c r="C523" i="3" s="1"/>
  <c r="A522" i="3"/>
  <c r="C521" i="3" s="1"/>
  <c r="A528" i="3"/>
  <c r="C527" i="3" s="1"/>
  <c r="A529" i="3"/>
  <c r="C528" i="3" s="1"/>
  <c r="A525" i="3"/>
  <c r="C524" i="3" s="1"/>
  <c r="B12" i="4" l="1"/>
  <c r="C12" i="4" l="1"/>
  <c r="B13" i="4"/>
  <c r="C13" i="4" l="1"/>
  <c r="B14" i="4"/>
  <c r="K13" i="4"/>
  <c r="L13" i="4" s="1"/>
  <c r="C14" i="4" l="1"/>
  <c r="B15" i="4"/>
  <c r="K14" i="4"/>
  <c r="L14" i="4" s="1"/>
  <c r="C15" i="4" l="1"/>
  <c r="B16" i="4"/>
  <c r="K15" i="4"/>
  <c r="K16" i="4" s="1"/>
  <c r="C16" i="4" l="1"/>
  <c r="B17" i="4"/>
  <c r="L15" i="4"/>
  <c r="L16" i="4"/>
  <c r="K17" i="4"/>
  <c r="C17" i="4" l="1"/>
  <c r="B18" i="4"/>
  <c r="L17" i="4"/>
  <c r="K18" i="4"/>
  <c r="C18" i="4" l="1"/>
  <c r="B19" i="4"/>
  <c r="K19" i="4"/>
  <c r="L18" i="4"/>
  <c r="C19" i="4" l="1"/>
  <c r="B20" i="4"/>
  <c r="K20" i="4"/>
  <c r="L19" i="4"/>
  <c r="C20" i="4" l="1"/>
  <c r="B21" i="4"/>
  <c r="L20" i="4"/>
  <c r="K21" i="4"/>
  <c r="C21" i="4" l="1"/>
  <c r="B22" i="4"/>
  <c r="L21" i="4"/>
  <c r="K22" i="4"/>
  <c r="C22" i="4" l="1"/>
  <c r="B23" i="4"/>
  <c r="K23" i="4"/>
  <c r="L22" i="4"/>
  <c r="C23" i="4" l="1"/>
  <c r="B24" i="4"/>
  <c r="K24" i="4"/>
  <c r="L23" i="4"/>
  <c r="C24" i="4" l="1"/>
  <c r="B25" i="4"/>
  <c r="L24" i="4"/>
  <c r="K25" i="4"/>
  <c r="C25" i="4" l="1"/>
  <c r="B26" i="4"/>
  <c r="L25" i="4"/>
  <c r="K26" i="4"/>
  <c r="C26" i="4" l="1"/>
  <c r="B27" i="4"/>
  <c r="K27" i="4"/>
  <c r="L26" i="4"/>
  <c r="C27" i="4" l="1"/>
  <c r="B28" i="4"/>
  <c r="K28" i="4"/>
  <c r="L27" i="4"/>
  <c r="C28" i="4" l="1"/>
  <c r="B29" i="4"/>
  <c r="L28" i="4"/>
  <c r="K29" i="4"/>
  <c r="C29" i="4" l="1"/>
  <c r="B30" i="4"/>
  <c r="L29" i="4"/>
  <c r="K30" i="4"/>
  <c r="C30" i="4" l="1"/>
  <c r="B31" i="4"/>
  <c r="K31" i="4"/>
  <c r="L30" i="4"/>
  <c r="C31" i="4" l="1"/>
  <c r="B32" i="4"/>
  <c r="K32" i="4"/>
  <c r="L31" i="4"/>
  <c r="C32" i="4" l="1"/>
  <c r="B33" i="4"/>
  <c r="L32" i="4"/>
  <c r="K33" i="4"/>
  <c r="C33" i="4" l="1"/>
  <c r="B34" i="4"/>
  <c r="L33" i="4"/>
  <c r="K34" i="4"/>
  <c r="C34" i="4" l="1"/>
  <c r="B35" i="4"/>
  <c r="L34" i="4"/>
  <c r="K35" i="4"/>
  <c r="C35" i="4" l="1"/>
  <c r="B36" i="4"/>
  <c r="K36" i="4"/>
  <c r="L35" i="4"/>
  <c r="C36" i="4" l="1"/>
  <c r="B37" i="4"/>
  <c r="L36" i="4"/>
  <c r="K37" i="4"/>
  <c r="C37" i="4" l="1"/>
  <c r="B38" i="4"/>
  <c r="L37" i="4"/>
  <c r="K38" i="4"/>
  <c r="C38" i="4" l="1"/>
  <c r="B39" i="4"/>
  <c r="L38" i="4"/>
  <c r="K39" i="4"/>
  <c r="C39" i="4" l="1"/>
  <c r="B40" i="4"/>
  <c r="K40" i="4"/>
  <c r="L39" i="4"/>
  <c r="C40" i="4" l="1"/>
  <c r="B41" i="4"/>
  <c r="L40" i="4"/>
  <c r="K41" i="4"/>
  <c r="C41" i="4" l="1"/>
  <c r="B42" i="4"/>
  <c r="L41" i="4"/>
  <c r="K42" i="4"/>
  <c r="C42" i="4" l="1"/>
  <c r="B43" i="4"/>
  <c r="L42" i="4"/>
  <c r="K43" i="4"/>
  <c r="C43" i="4" l="1"/>
  <c r="B44" i="4"/>
  <c r="K44" i="4"/>
  <c r="L43" i="4"/>
  <c r="C44" i="4" l="1"/>
  <c r="B45" i="4"/>
  <c r="L44" i="4"/>
  <c r="K45" i="4"/>
  <c r="C45" i="4" l="1"/>
  <c r="B46" i="4"/>
  <c r="L45" i="4"/>
  <c r="K46" i="4"/>
  <c r="C46" i="4" l="1"/>
  <c r="B47" i="4"/>
  <c r="K47" i="4"/>
  <c r="L46" i="4"/>
  <c r="C47" i="4" l="1"/>
  <c r="B48" i="4"/>
  <c r="K48" i="4"/>
  <c r="L47" i="4"/>
  <c r="C48" i="4" l="1"/>
  <c r="B49" i="4"/>
  <c r="L48" i="4"/>
  <c r="K49" i="4"/>
  <c r="C49" i="4" l="1"/>
  <c r="B50" i="4"/>
  <c r="L49" i="4"/>
  <c r="K50" i="4"/>
  <c r="C50" i="4" l="1"/>
  <c r="B51" i="4"/>
  <c r="K51" i="4"/>
  <c r="L50" i="4"/>
  <c r="C51" i="4" l="1"/>
  <c r="B52" i="4"/>
  <c r="K52" i="4"/>
  <c r="L51" i="4"/>
  <c r="C52" i="4" l="1"/>
  <c r="B53" i="4"/>
  <c r="L52" i="4"/>
  <c r="K53" i="4"/>
  <c r="C53" i="4" l="1"/>
  <c r="B54" i="4"/>
  <c r="L53" i="4"/>
  <c r="K54" i="4"/>
  <c r="C54" i="4" l="1"/>
  <c r="B55" i="4"/>
  <c r="K55" i="4"/>
  <c r="L54" i="4"/>
  <c r="C55" i="4" l="1"/>
  <c r="B56" i="4"/>
  <c r="K56" i="4"/>
  <c r="L55" i="4"/>
  <c r="C56" i="4" l="1"/>
  <c r="B57" i="4"/>
  <c r="L56" i="4"/>
  <c r="K57" i="4"/>
  <c r="C57" i="4" l="1"/>
  <c r="B58" i="4"/>
  <c r="L57" i="4"/>
  <c r="K58" i="4"/>
  <c r="C58" i="4" l="1"/>
  <c r="B59" i="4"/>
  <c r="L58" i="4"/>
  <c r="K59" i="4"/>
  <c r="C59" i="4" l="1"/>
  <c r="B60" i="4"/>
  <c r="K60" i="4"/>
  <c r="L59" i="4"/>
  <c r="C60" i="4" l="1"/>
  <c r="B61" i="4"/>
  <c r="L60" i="4"/>
  <c r="K61" i="4"/>
  <c r="C61" i="4" l="1"/>
  <c r="B62" i="4"/>
  <c r="L61" i="4"/>
  <c r="K62" i="4"/>
  <c r="C62" i="4" l="1"/>
  <c r="B63" i="4"/>
  <c r="K63" i="4"/>
  <c r="L62" i="4"/>
  <c r="C63" i="4" l="1"/>
  <c r="B64" i="4"/>
  <c r="K64" i="4"/>
  <c r="L63" i="4"/>
  <c r="C64" i="4" l="1"/>
  <c r="B65" i="4"/>
  <c r="L64" i="4"/>
  <c r="K65" i="4"/>
  <c r="C65" i="4" l="1"/>
  <c r="B66" i="4"/>
  <c r="L65" i="4"/>
  <c r="K66" i="4"/>
  <c r="C66" i="4" l="1"/>
  <c r="B67" i="4"/>
  <c r="K67" i="4"/>
  <c r="L66" i="4"/>
  <c r="C67" i="4" l="1"/>
  <c r="B68" i="4"/>
  <c r="K68" i="4"/>
  <c r="L67" i="4"/>
  <c r="C68" i="4" l="1"/>
  <c r="B69" i="4"/>
  <c r="L68" i="4"/>
  <c r="K69" i="4"/>
  <c r="C69" i="4" l="1"/>
  <c r="B70" i="4"/>
  <c r="L69" i="4"/>
  <c r="K70" i="4"/>
  <c r="C70" i="4" l="1"/>
  <c r="B71" i="4"/>
  <c r="L70" i="4"/>
  <c r="K71" i="4"/>
  <c r="C71" i="4" l="1"/>
  <c r="B72" i="4"/>
  <c r="K72" i="4"/>
  <c r="L71" i="4"/>
  <c r="C72" i="4" l="1"/>
  <c r="B73" i="4"/>
  <c r="L72" i="4"/>
  <c r="K73" i="4"/>
  <c r="C73" i="4" l="1"/>
  <c r="B74" i="4"/>
  <c r="L73" i="4"/>
  <c r="K74" i="4"/>
  <c r="C74" i="4" l="1"/>
  <c r="B75" i="4"/>
  <c r="K75" i="4"/>
  <c r="L74" i="4"/>
  <c r="C75" i="4" l="1"/>
  <c r="B76" i="4"/>
  <c r="K76" i="4"/>
  <c r="L75" i="4"/>
  <c r="C76" i="4" l="1"/>
  <c r="B77" i="4"/>
  <c r="L76" i="4"/>
  <c r="K77" i="4"/>
  <c r="C77" i="4" l="1"/>
  <c r="B78" i="4"/>
  <c r="L77" i="4"/>
  <c r="K78" i="4"/>
  <c r="C78" i="4" l="1"/>
  <c r="B79" i="4"/>
  <c r="K79" i="4"/>
  <c r="L78" i="4"/>
  <c r="C79" i="4" l="1"/>
  <c r="B80" i="4"/>
  <c r="K80" i="4"/>
  <c r="L79" i="4"/>
  <c r="C80" i="4" l="1"/>
  <c r="B81" i="4"/>
  <c r="L80" i="4"/>
  <c r="K81" i="4"/>
  <c r="C81" i="4" l="1"/>
  <c r="B82" i="4"/>
  <c r="L81" i="4"/>
  <c r="K82" i="4"/>
  <c r="C82" i="4" l="1"/>
  <c r="B83" i="4"/>
  <c r="K83" i="4"/>
  <c r="L82" i="4"/>
  <c r="C83" i="4" l="1"/>
  <c r="B84" i="4"/>
  <c r="K84" i="4"/>
  <c r="L83" i="4"/>
  <c r="C84" i="4" l="1"/>
  <c r="B85" i="4"/>
  <c r="L84" i="4"/>
  <c r="K85" i="4"/>
  <c r="C85" i="4" l="1"/>
  <c r="B86" i="4"/>
  <c r="L85" i="4"/>
  <c r="K86" i="4"/>
  <c r="C86" i="4" l="1"/>
  <c r="B87" i="4"/>
  <c r="K87" i="4"/>
  <c r="L86" i="4"/>
  <c r="C87" i="4" l="1"/>
  <c r="B88" i="4"/>
  <c r="K88" i="4"/>
  <c r="L87" i="4"/>
  <c r="C88" i="4" l="1"/>
  <c r="B89" i="4"/>
  <c r="L88" i="4"/>
  <c r="K89" i="4"/>
  <c r="C89" i="4" l="1"/>
  <c r="B90" i="4"/>
  <c r="L89" i="4"/>
  <c r="K90" i="4"/>
  <c r="C90" i="4" l="1"/>
  <c r="B91" i="4"/>
  <c r="L90" i="4"/>
  <c r="K91" i="4"/>
  <c r="C91" i="4" l="1"/>
  <c r="B92" i="4"/>
  <c r="K92" i="4"/>
  <c r="L91" i="4"/>
  <c r="C92" i="4" l="1"/>
  <c r="B93" i="4"/>
  <c r="L92" i="4"/>
  <c r="K93" i="4"/>
  <c r="C93" i="4" l="1"/>
  <c r="B94" i="4"/>
  <c r="L93" i="4"/>
  <c r="K94" i="4"/>
  <c r="C94" i="4" l="1"/>
  <c r="B95" i="4"/>
  <c r="K95" i="4"/>
  <c r="L94" i="4"/>
  <c r="C95" i="4" l="1"/>
  <c r="B96" i="4"/>
  <c r="K96" i="4"/>
  <c r="L95" i="4"/>
  <c r="C96" i="4" l="1"/>
  <c r="B97" i="4"/>
  <c r="L96" i="4"/>
  <c r="K97" i="4"/>
  <c r="C97" i="4" l="1"/>
  <c r="B98" i="4"/>
  <c r="L97" i="4"/>
  <c r="K98" i="4"/>
  <c r="C98" i="4" l="1"/>
  <c r="B99" i="4"/>
  <c r="K99" i="4"/>
  <c r="L98" i="4"/>
  <c r="C99" i="4" l="1"/>
  <c r="B100" i="4"/>
  <c r="K100" i="4"/>
  <c r="L99" i="4"/>
  <c r="C100" i="4" l="1"/>
  <c r="B101" i="4"/>
  <c r="L100" i="4"/>
  <c r="K101" i="4"/>
  <c r="C101" i="4" l="1"/>
  <c r="B102" i="4"/>
  <c r="L101" i="4"/>
  <c r="K102" i="4"/>
  <c r="C102" i="4" l="1"/>
  <c r="B103" i="4"/>
  <c r="K103" i="4"/>
  <c r="L102" i="4"/>
  <c r="C103" i="4" l="1"/>
  <c r="B104" i="4"/>
  <c r="K104" i="4"/>
  <c r="L103" i="4"/>
  <c r="C104" i="4" l="1"/>
  <c r="B105" i="4"/>
  <c r="L104" i="4"/>
  <c r="K105" i="4"/>
  <c r="C105" i="4" l="1"/>
  <c r="B106" i="4"/>
  <c r="L105" i="4"/>
  <c r="K106" i="4"/>
  <c r="C106" i="4" l="1"/>
  <c r="B107" i="4"/>
  <c r="L106" i="4"/>
  <c r="K107" i="4"/>
  <c r="C107" i="4" l="1"/>
  <c r="B108" i="4"/>
  <c r="K108" i="4"/>
  <c r="L107" i="4"/>
  <c r="C108" i="4" l="1"/>
  <c r="B109" i="4"/>
  <c r="L108" i="4"/>
  <c r="K109" i="4"/>
  <c r="C109" i="4" l="1"/>
  <c r="B110" i="4"/>
  <c r="C110" i="4" s="1"/>
  <c r="L109" i="4"/>
  <c r="K110" i="4"/>
  <c r="L110" i="4" s="1"/>
  <c r="C112" i="4" l="1"/>
  <c r="R214" i="4" s="1"/>
  <c r="L112" i="4"/>
  <c r="N209" i="4" s="1"/>
  <c r="B209" i="4" s="1" a="1"/>
  <c r="B209" i="4" s="1"/>
  <c r="B214" i="4" l="1" a="1"/>
  <c r="B214" i="4" s="1"/>
  <c r="N13" i="4" l="1"/>
  <c r="N14" i="4" l="1"/>
  <c r="O13" i="4"/>
  <c r="O14" i="4" l="1"/>
  <c r="N15" i="4"/>
  <c r="N16" i="4" l="1"/>
  <c r="O15" i="4"/>
  <c r="O16" i="4" l="1"/>
  <c r="N17" i="4"/>
  <c r="O17" i="4" l="1"/>
  <c r="N18" i="4"/>
  <c r="O18" i="4" l="1"/>
  <c r="N19" i="4"/>
  <c r="N20" i="4" l="1"/>
  <c r="O19" i="4"/>
  <c r="N21" i="4" l="1"/>
  <c r="O20" i="4"/>
  <c r="N22" i="4" l="1"/>
  <c r="O21" i="4"/>
  <c r="N23" i="4" l="1"/>
  <c r="O22" i="4"/>
  <c r="O23" i="4" l="1"/>
  <c r="N24" i="4"/>
  <c r="O24" i="4" l="1"/>
  <c r="N25" i="4"/>
  <c r="O25" i="4" l="1"/>
  <c r="N26" i="4"/>
  <c r="O26" i="4" l="1"/>
  <c r="N27" i="4"/>
  <c r="O27" i="4" l="1"/>
  <c r="N28" i="4"/>
  <c r="N29" i="4" l="1"/>
  <c r="O28" i="4"/>
  <c r="O29" i="4" l="1"/>
  <c r="N30" i="4"/>
  <c r="O30" i="4" l="1"/>
  <c r="N31" i="4"/>
  <c r="N32" i="4" l="1"/>
  <c r="O31" i="4"/>
  <c r="O32" i="4" l="1"/>
  <c r="N33" i="4"/>
  <c r="O33" i="4" l="1"/>
  <c r="N34" i="4"/>
  <c r="O34" i="4" l="1"/>
  <c r="N35" i="4"/>
  <c r="O35" i="4" l="1"/>
  <c r="N36" i="4"/>
  <c r="O36" i="4" l="1"/>
  <c r="N37" i="4"/>
  <c r="O37" i="4" l="1"/>
  <c r="N38" i="4"/>
  <c r="O38" i="4" l="1"/>
  <c r="N39" i="4"/>
  <c r="O39" i="4" l="1"/>
  <c r="N40" i="4"/>
  <c r="O40" i="4" l="1"/>
  <c r="N41" i="4"/>
  <c r="O41" i="4" l="1"/>
  <c r="N42" i="4"/>
  <c r="O42" i="4" l="1"/>
  <c r="N43" i="4"/>
  <c r="O43" i="4" l="1"/>
  <c r="N44" i="4"/>
  <c r="N45" i="4" l="1"/>
  <c r="O44" i="4"/>
  <c r="O45" i="4" l="1"/>
  <c r="N46" i="4"/>
  <c r="O46" i="4" l="1"/>
  <c r="N47" i="4"/>
  <c r="O47" i="4" l="1"/>
  <c r="N48" i="4"/>
  <c r="N49" i="4" l="1"/>
  <c r="O48" i="4"/>
  <c r="N50" i="4" l="1"/>
  <c r="O49" i="4"/>
  <c r="O50" i="4" l="1"/>
  <c r="N51" i="4"/>
  <c r="O51" i="4" l="1"/>
  <c r="N52" i="4"/>
  <c r="O52" i="4" l="1"/>
  <c r="N53" i="4"/>
  <c r="N54" i="4" l="1"/>
  <c r="O53" i="4"/>
  <c r="N55" i="4" l="1"/>
  <c r="O54" i="4"/>
  <c r="N56" i="4" l="1"/>
  <c r="O55" i="4"/>
  <c r="N57" i="4" l="1"/>
  <c r="O56" i="4"/>
  <c r="O57" i="4" l="1"/>
  <c r="N58" i="4"/>
  <c r="O58" i="4" l="1"/>
  <c r="N59" i="4"/>
  <c r="O59" i="4" l="1"/>
  <c r="N60" i="4"/>
  <c r="O60" i="4" l="1"/>
  <c r="N61" i="4"/>
  <c r="N62" i="4" l="1"/>
  <c r="O61" i="4"/>
  <c r="O62" i="4" l="1"/>
  <c r="N63" i="4"/>
  <c r="O63" i="4" l="1"/>
  <c r="N64" i="4"/>
  <c r="N65" i="4" l="1"/>
  <c r="O64" i="4"/>
  <c r="N66" i="4" l="1"/>
  <c r="O65" i="4"/>
  <c r="O66" i="4" l="1"/>
  <c r="N67" i="4"/>
  <c r="O67" i="4" l="1"/>
  <c r="N68" i="4"/>
  <c r="O68" i="4" l="1"/>
  <c r="N69" i="4"/>
  <c r="O69" i="4" l="1"/>
  <c r="N70" i="4"/>
  <c r="N71" i="4" l="1"/>
  <c r="O70" i="4"/>
  <c r="O71" i="4" l="1"/>
  <c r="N72" i="4"/>
  <c r="O72" i="4" l="1"/>
  <c r="N73" i="4"/>
  <c r="O73" i="4" l="1"/>
  <c r="N74" i="4"/>
  <c r="O74" i="4" l="1"/>
  <c r="N75" i="4"/>
  <c r="O75" i="4" l="1"/>
  <c r="N76" i="4"/>
  <c r="O76" i="4" l="1"/>
  <c r="N77" i="4"/>
  <c r="N78" i="4" l="1"/>
  <c r="O77" i="4"/>
  <c r="N79" i="4" l="1"/>
  <c r="O78" i="4"/>
  <c r="N80" i="4" l="1"/>
  <c r="O79" i="4"/>
  <c r="N81" i="4" l="1"/>
  <c r="O80" i="4"/>
  <c r="O81" i="4" l="1"/>
  <c r="N82" i="4"/>
  <c r="O82" i="4" l="1"/>
  <c r="N83" i="4"/>
  <c r="O83" i="4" l="1"/>
  <c r="N84" i="4"/>
  <c r="O84" i="4" l="1"/>
  <c r="N85" i="4"/>
  <c r="N86" i="4" l="1"/>
  <c r="O85" i="4"/>
  <c r="O86" i="4" l="1"/>
  <c r="N87" i="4"/>
  <c r="N88" i="4" l="1"/>
  <c r="O87" i="4"/>
  <c r="N89" i="4" l="1"/>
  <c r="O88" i="4"/>
  <c r="N90" i="4" l="1"/>
  <c r="O89" i="4"/>
  <c r="N91" i="4" l="1"/>
  <c r="O90" i="4"/>
  <c r="N92" i="4" l="1"/>
  <c r="O91" i="4"/>
  <c r="O92" i="4" l="1"/>
  <c r="N93" i="4"/>
  <c r="N94" i="4" l="1"/>
  <c r="O93" i="4"/>
  <c r="N95" i="4" l="1"/>
  <c r="O94" i="4"/>
  <c r="N96" i="4" l="1"/>
  <c r="O95" i="4"/>
  <c r="O96" i="4" l="1"/>
  <c r="N97" i="4"/>
  <c r="O97" i="4" l="1"/>
  <c r="N98" i="4"/>
  <c r="O98" i="4" l="1"/>
  <c r="N99" i="4"/>
  <c r="O99" i="4" l="1"/>
  <c r="N100" i="4"/>
  <c r="N101" i="4" l="1"/>
  <c r="O100" i="4"/>
  <c r="O101" i="4" l="1"/>
  <c r="N102" i="4"/>
  <c r="O102" i="4" l="1"/>
  <c r="N103" i="4"/>
  <c r="N104" i="4" l="1"/>
  <c r="O103" i="4"/>
  <c r="N105" i="4" l="1"/>
  <c r="O104" i="4"/>
  <c r="O105" i="4" l="1"/>
  <c r="N106" i="4"/>
  <c r="N107" i="4" l="1"/>
  <c r="O106" i="4"/>
  <c r="O107" i="4" l="1"/>
  <c r="N108" i="4"/>
  <c r="N109" i="4" l="1"/>
  <c r="O108" i="4"/>
  <c r="N110" i="4" l="1"/>
  <c r="O110" i="4" s="1"/>
  <c r="O109" i="4"/>
  <c r="O112" i="4" l="1"/>
  <c r="V208" i="4" l="1"/>
  <c r="B30" i="5" l="1"/>
  <c r="B28" i="5" l="1"/>
  <c r="C28" i="5"/>
  <c r="D28" i="5" l="1"/>
  <c r="C30" i="5"/>
  <c r="D31" i="5" l="1"/>
  <c r="D30" i="5"/>
  <c r="U208" i="4" l="1"/>
  <c r="B208" i="4" l="1" a="1"/>
  <c r="B208" i="4" s="1"/>
  <c r="B15" i="5"/>
  <c r="B126" i="4" l="1"/>
  <c r="H87" i="1" l="1"/>
  <c r="B18" i="5" l="1"/>
  <c r="U12" i="4" l="1"/>
  <c r="V12" i="4"/>
  <c r="S12" i="4"/>
  <c r="T12" i="4"/>
  <c r="R12" i="4" l="1"/>
  <c r="T73" i="4" l="1"/>
  <c r="T36" i="4"/>
  <c r="T66" i="4"/>
  <c r="U98" i="4"/>
  <c r="V52" i="4"/>
  <c r="U44" i="4"/>
  <c r="T29" i="4"/>
  <c r="V32" i="4"/>
  <c r="V86" i="4"/>
  <c r="T86" i="4"/>
  <c r="T75" i="4"/>
  <c r="T108" i="4"/>
  <c r="V108" i="4"/>
  <c r="U87" i="4"/>
  <c r="V76" i="4"/>
  <c r="V90" i="4"/>
  <c r="U70" i="4"/>
  <c r="V70" i="4"/>
  <c r="T70" i="4"/>
  <c r="V44" i="4"/>
  <c r="U90" i="4"/>
  <c r="U63" i="4"/>
  <c r="V91" i="4"/>
  <c r="V31" i="4"/>
  <c r="U43" i="4"/>
  <c r="U18" i="4"/>
  <c r="T47" i="4"/>
  <c r="T54" i="4"/>
  <c r="U48" i="4"/>
  <c r="V48" i="4"/>
  <c r="U47" i="4"/>
  <c r="V88" i="4"/>
  <c r="U32" i="4"/>
  <c r="V66" i="4"/>
  <c r="T68" i="4"/>
  <c r="T93" i="4"/>
  <c r="U93" i="4"/>
  <c r="V92" i="4"/>
  <c r="V15" i="4"/>
  <c r="U13" i="4"/>
  <c r="S82" i="4"/>
  <c r="V19" i="4"/>
  <c r="T40" i="4"/>
  <c r="T50" i="4"/>
  <c r="U108" i="4"/>
  <c r="T109" i="4"/>
  <c r="U92" i="4"/>
  <c r="V106" i="4"/>
  <c r="T106" i="4"/>
  <c r="T87" i="4"/>
  <c r="T71" i="4"/>
  <c r="U76" i="4"/>
  <c r="T90" i="4"/>
  <c r="S110" i="4"/>
  <c r="T57" i="4"/>
  <c r="S35" i="4"/>
  <c r="U65" i="4"/>
  <c r="V30" i="4"/>
  <c r="T30" i="4"/>
  <c r="T42" i="4"/>
  <c r="V87" i="4"/>
  <c r="T95" i="4"/>
  <c r="V55" i="4"/>
  <c r="V61" i="4"/>
  <c r="T84" i="4"/>
  <c r="S65" i="4"/>
  <c r="U103" i="4"/>
  <c r="U61" i="4"/>
  <c r="V54" i="4"/>
  <c r="T48" i="4"/>
  <c r="U31" i="4"/>
  <c r="S93" i="4"/>
  <c r="V62" i="4"/>
  <c r="V80" i="4"/>
  <c r="T97" i="4"/>
  <c r="U67" i="4"/>
  <c r="V69" i="4"/>
  <c r="T27" i="4"/>
  <c r="S75" i="4"/>
  <c r="U22" i="4"/>
  <c r="U36" i="4"/>
  <c r="V93" i="4"/>
  <c r="T103" i="4"/>
  <c r="S109" i="4"/>
  <c r="V99" i="4"/>
  <c r="V14" i="4"/>
  <c r="U14" i="4"/>
  <c r="V40" i="4"/>
  <c r="U50" i="4"/>
  <c r="T101" i="4"/>
  <c r="T91" i="4"/>
  <c r="V98" i="4"/>
  <c r="S61" i="4"/>
  <c r="T72" i="4"/>
  <c r="U72" i="4"/>
  <c r="V26" i="4"/>
  <c r="T33" i="4"/>
  <c r="S70" i="4"/>
  <c r="T102" i="4"/>
  <c r="U78" i="4"/>
  <c r="U17" i="4"/>
  <c r="U57" i="4"/>
  <c r="U16" i="4"/>
  <c r="T98" i="4"/>
  <c r="T60" i="4"/>
  <c r="U60" i="4"/>
  <c r="U79" i="4"/>
  <c r="V75" i="4"/>
  <c r="T77" i="4"/>
  <c r="U85" i="4"/>
  <c r="V51" i="4"/>
  <c r="U96" i="4"/>
  <c r="S104" i="4"/>
  <c r="T74" i="4"/>
  <c r="V82" i="4"/>
  <c r="U49" i="4"/>
  <c r="V20" i="4"/>
  <c r="S32" i="4"/>
  <c r="V50" i="4"/>
  <c r="T21" i="4"/>
  <c r="S99" i="4"/>
  <c r="U25" i="4"/>
  <c r="T81" i="4"/>
  <c r="U81" i="4"/>
  <c r="S81" i="4"/>
  <c r="V63" i="4"/>
  <c r="U59" i="4"/>
  <c r="V59" i="4"/>
  <c r="T104" i="4"/>
  <c r="S105" i="4"/>
  <c r="V105" i="4"/>
  <c r="T43" i="4"/>
  <c r="S36" i="4"/>
  <c r="U106" i="4"/>
  <c r="T105" i="4"/>
  <c r="U84" i="4"/>
  <c r="T92" i="4"/>
  <c r="T107" i="4"/>
  <c r="U73" i="4"/>
  <c r="V74" i="4"/>
  <c r="U24" i="4"/>
  <c r="V24" i="4"/>
  <c r="V77" i="4"/>
  <c r="T64" i="4"/>
  <c r="V71" i="4"/>
  <c r="V107" i="4"/>
  <c r="S17" i="4"/>
  <c r="V49" i="4"/>
  <c r="T56" i="4"/>
  <c r="V96" i="4"/>
  <c r="T17" i="4"/>
  <c r="V89" i="4"/>
  <c r="U33" i="4"/>
  <c r="V101" i="4"/>
  <c r="U29" i="4"/>
  <c r="V73" i="4"/>
  <c r="U56" i="4"/>
  <c r="V65" i="4"/>
  <c r="V36" i="4"/>
  <c r="U66" i="4"/>
  <c r="S66" i="4"/>
  <c r="V103" i="4"/>
  <c r="V97" i="4"/>
  <c r="U109" i="4"/>
  <c r="U74" i="4"/>
  <c r="V27" i="4"/>
  <c r="S92" i="4"/>
  <c r="V47" i="4"/>
  <c r="S80" i="4"/>
  <c r="S57" i="4"/>
  <c r="U23" i="4"/>
  <c r="T14" i="4"/>
  <c r="U101" i="4"/>
  <c r="V58" i="4"/>
  <c r="V68" i="4"/>
  <c r="U21" i="4"/>
  <c r="T24" i="4"/>
  <c r="S42" i="4"/>
  <c r="T37" i="4"/>
  <c r="U30" i="4"/>
  <c r="T15" i="4"/>
  <c r="S34" i="4"/>
  <c r="T34" i="4"/>
  <c r="U34" i="4"/>
  <c r="U40" i="4"/>
  <c r="S83" i="4"/>
  <c r="U107" i="4"/>
  <c r="T83" i="4"/>
  <c r="V110" i="4"/>
  <c r="S50" i="4"/>
  <c r="S29" i="4"/>
  <c r="V60" i="4"/>
  <c r="V56" i="4"/>
  <c r="T80" i="4"/>
  <c r="U55" i="4"/>
  <c r="V35" i="4"/>
  <c r="S84" i="4"/>
  <c r="S97" i="4"/>
  <c r="S18" i="4"/>
  <c r="S60" i="4"/>
  <c r="S95" i="4"/>
  <c r="S26" i="4"/>
  <c r="T94" i="4"/>
  <c r="S94" i="4"/>
  <c r="U69" i="4"/>
  <c r="S39" i="4"/>
  <c r="S51" i="4"/>
  <c r="T46" i="4"/>
  <c r="S91" i="4"/>
  <c r="U91" i="4"/>
  <c r="S58" i="4"/>
  <c r="U28" i="4"/>
  <c r="T49" i="4"/>
  <c r="U104" i="4"/>
  <c r="V29" i="4"/>
  <c r="S53" i="4"/>
  <c r="V78" i="4"/>
  <c r="U35" i="4"/>
  <c r="U27" i="4"/>
  <c r="U110" i="4"/>
  <c r="T51" i="4"/>
  <c r="U75" i="4"/>
  <c r="T20" i="4"/>
  <c r="T44" i="4"/>
  <c r="T96" i="4"/>
  <c r="S16" i="4"/>
  <c r="S56" i="4"/>
  <c r="S48" i="4"/>
  <c r="T32" i="4"/>
  <c r="T16" i="4"/>
  <c r="V25" i="4"/>
  <c r="S67" i="4"/>
  <c r="V100" i="4"/>
  <c r="U26" i="4"/>
  <c r="T67" i="4"/>
  <c r="T99" i="4"/>
  <c r="T110" i="4"/>
  <c r="S49" i="4"/>
  <c r="V67" i="4"/>
  <c r="T26" i="4"/>
  <c r="U45" i="4"/>
  <c r="T76" i="4"/>
  <c r="V21" i="4"/>
  <c r="S90" i="4"/>
  <c r="S46" i="4"/>
  <c r="U94" i="4"/>
  <c r="S103" i="4"/>
  <c r="T38" i="4"/>
  <c r="V38" i="4"/>
  <c r="V94" i="4"/>
  <c r="U68" i="4"/>
  <c r="T28" i="4"/>
  <c r="S28" i="4"/>
  <c r="U51" i="4"/>
  <c r="V79" i="4"/>
  <c r="S69" i="4"/>
  <c r="S63" i="4"/>
  <c r="V42" i="4"/>
  <c r="V37" i="4"/>
  <c r="S24" i="4"/>
  <c r="U88" i="4"/>
  <c r="T19" i="4"/>
  <c r="U80" i="4"/>
  <c r="U58" i="4"/>
  <c r="S72" i="4"/>
  <c r="S14" i="4"/>
  <c r="U102" i="4"/>
  <c r="S107" i="4"/>
  <c r="U95" i="4"/>
  <c r="T25" i="4"/>
  <c r="U37" i="4"/>
  <c r="V104" i="4"/>
  <c r="T18" i="4"/>
  <c r="S98" i="4"/>
  <c r="T88" i="4"/>
  <c r="T31" i="4"/>
  <c r="V23" i="4"/>
  <c r="V18" i="4"/>
  <c r="U99" i="4"/>
  <c r="T41" i="4"/>
  <c r="V95" i="4"/>
  <c r="S45" i="4"/>
  <c r="S78" i="4"/>
  <c r="V102" i="4"/>
  <c r="V84" i="4"/>
  <c r="U20" i="4"/>
  <c r="S19" i="4"/>
  <c r="T89" i="4"/>
  <c r="V53" i="4"/>
  <c r="T100" i="4"/>
  <c r="V17" i="4"/>
  <c r="V81" i="4"/>
  <c r="S100" i="4"/>
  <c r="U100" i="4"/>
  <c r="S106" i="4"/>
  <c r="U82" i="4"/>
  <c r="V72" i="4"/>
  <c r="S30" i="4"/>
  <c r="S55" i="4"/>
  <c r="U53" i="4"/>
  <c r="U42" i="4"/>
  <c r="V85" i="4"/>
  <c r="S20" i="4"/>
  <c r="T23" i="4"/>
  <c r="T59" i="4"/>
  <c r="V83" i="4"/>
  <c r="S79" i="4"/>
  <c r="V39" i="4"/>
  <c r="T65" i="4"/>
  <c r="S74" i="4"/>
  <c r="U38" i="4"/>
  <c r="U62" i="4"/>
  <c r="T69" i="4"/>
  <c r="V16" i="4"/>
  <c r="U97" i="4"/>
  <c r="S108" i="4"/>
  <c r="S33" i="4"/>
  <c r="T58" i="4"/>
  <c r="S21" i="4"/>
  <c r="S68" i="4"/>
  <c r="U52" i="4"/>
  <c r="T63" i="4"/>
  <c r="T82" i="4"/>
  <c r="V28" i="4"/>
  <c r="S22" i="4"/>
  <c r="U64" i="4"/>
  <c r="S44" i="4"/>
  <c r="S71" i="4"/>
  <c r="S89" i="4"/>
  <c r="U19" i="4"/>
  <c r="V34" i="4"/>
  <c r="V109" i="4"/>
  <c r="T22" i="4"/>
  <c r="U83" i="4"/>
  <c r="U77" i="4"/>
  <c r="S62" i="4"/>
  <c r="S40" i="4"/>
  <c r="T13" i="4"/>
  <c r="S76" i="4"/>
  <c r="V22" i="4"/>
  <c r="S77" i="4"/>
  <c r="S38" i="4"/>
  <c r="V43" i="4"/>
  <c r="V57" i="4"/>
  <c r="U39" i="4"/>
  <c r="V45" i="4"/>
  <c r="V46" i="4"/>
  <c r="S47" i="4"/>
  <c r="V41" i="4"/>
  <c r="U89" i="4"/>
  <c r="T61" i="4"/>
  <c r="T85" i="4"/>
  <c r="U86" i="4"/>
  <c r="T78" i="4"/>
  <c r="S27" i="4"/>
  <c r="T35" i="4"/>
  <c r="V33" i="4"/>
  <c r="V64" i="4"/>
  <c r="S15" i="4"/>
  <c r="S59" i="4"/>
  <c r="S13" i="4"/>
  <c r="T55" i="4"/>
  <c r="V13" i="4"/>
  <c r="T79" i="4"/>
  <c r="S86" i="4"/>
  <c r="U54" i="4"/>
  <c r="T52" i="4"/>
  <c r="U71" i="4"/>
  <c r="S31" i="4"/>
  <c r="S54" i="4"/>
  <c r="S64" i="4"/>
  <c r="S85" i="4"/>
  <c r="S96" i="4"/>
  <c r="S88" i="4"/>
  <c r="T53" i="4"/>
  <c r="S102" i="4"/>
  <c r="S101" i="4"/>
  <c r="S87" i="4"/>
  <c r="U41" i="4"/>
  <c r="T39" i="4"/>
  <c r="T62" i="4"/>
  <c r="U46" i="4"/>
  <c r="S25" i="4"/>
  <c r="S37" i="4"/>
  <c r="U105" i="4"/>
  <c r="S23" i="4"/>
  <c r="S73" i="4"/>
  <c r="U15" i="4"/>
  <c r="S52" i="4"/>
  <c r="S43" i="4"/>
  <c r="S41" i="4"/>
  <c r="T45" i="4"/>
  <c r="R32" i="4" l="1"/>
  <c r="R105" i="4"/>
  <c r="R40" i="4"/>
  <c r="R96" i="4"/>
  <c r="R104" i="4"/>
  <c r="R29" i="4"/>
  <c r="R22" i="4"/>
  <c r="R26" i="4"/>
  <c r="R93" i="4"/>
  <c r="R16" i="4"/>
  <c r="R33" i="4"/>
  <c r="R20" i="4"/>
  <c r="R73" i="4"/>
  <c r="R100" i="4"/>
  <c r="R34" i="4"/>
  <c r="R31" i="4"/>
  <c r="R60" i="4"/>
  <c r="R98" i="4"/>
  <c r="R89" i="4"/>
  <c r="R38" i="4"/>
  <c r="R30" i="4"/>
  <c r="R85" i="4"/>
  <c r="R51" i="4"/>
  <c r="R84" i="4"/>
  <c r="R67" i="4"/>
  <c r="R46" i="4"/>
  <c r="R42" i="4"/>
  <c r="R77" i="4"/>
  <c r="R55" i="4"/>
  <c r="R21" i="4"/>
  <c r="R78" i="4"/>
  <c r="R47" i="4"/>
  <c r="R83" i="4"/>
  <c r="R48" i="4"/>
  <c r="R28" i="4"/>
  <c r="R102" i="4"/>
  <c r="R76" i="4"/>
  <c r="R68" i="4"/>
  <c r="R92" i="4"/>
  <c r="R75" i="4"/>
  <c r="R37" i="4"/>
  <c r="R70" i="4"/>
  <c r="R72" i="4"/>
  <c r="R109" i="4"/>
  <c r="R49" i="4"/>
  <c r="R74" i="4"/>
  <c r="R71" i="4"/>
  <c r="R79" i="4"/>
  <c r="R45" i="4"/>
  <c r="R94" i="4"/>
  <c r="R56" i="4"/>
  <c r="R63" i="4"/>
  <c r="R14" i="4"/>
  <c r="R43" i="4"/>
  <c r="R25" i="4"/>
  <c r="R44" i="4"/>
  <c r="R99" i="4"/>
  <c r="R61" i="4"/>
  <c r="R101" i="4"/>
  <c r="R18" i="4"/>
  <c r="R66" i="4"/>
  <c r="R15" i="4"/>
  <c r="R86" i="4"/>
  <c r="R23" i="4"/>
  <c r="R91" i="4"/>
  <c r="R95" i="4"/>
  <c r="R39" i="4"/>
  <c r="R80" i="4"/>
  <c r="R27" i="4"/>
  <c r="R53" i="4"/>
  <c r="R81" i="4"/>
  <c r="R54" i="4"/>
  <c r="R110" i="4"/>
  <c r="R87" i="4"/>
  <c r="R35" i="4"/>
  <c r="R62" i="4"/>
  <c r="R88" i="4"/>
  <c r="R65" i="4"/>
  <c r="R50" i="4"/>
  <c r="R97" i="4"/>
  <c r="R82" i="4"/>
  <c r="R108" i="4"/>
  <c r="R41" i="4"/>
  <c r="R103" i="4"/>
  <c r="R69" i="4"/>
  <c r="R107" i="4"/>
  <c r="R36" i="4"/>
  <c r="R17" i="4"/>
  <c r="R64" i="4"/>
  <c r="R58" i="4"/>
  <c r="R106" i="4"/>
  <c r="R59" i="4"/>
  <c r="R57" i="4"/>
  <c r="R52" i="4"/>
  <c r="R90" i="4"/>
  <c r="R19" i="4"/>
  <c r="R13" i="4"/>
  <c r="E12" i="4" s="1"/>
  <c r="R24" i="4"/>
  <c r="E13" i="4" l="1"/>
  <c r="F12" i="4"/>
  <c r="G37" i="5"/>
  <c r="J48" i="5"/>
  <c r="F13" i="4" l="1"/>
  <c r="E14" i="4"/>
  <c r="B49" i="5"/>
  <c r="B45" i="5"/>
  <c r="B50" i="5"/>
  <c r="B57" i="5"/>
  <c r="J39" i="5"/>
  <c r="B48" i="5"/>
  <c r="J42" i="5"/>
  <c r="J49" i="5"/>
  <c r="J41" i="5"/>
  <c r="B43" i="5"/>
  <c r="J53" i="5"/>
  <c r="B41" i="5"/>
  <c r="B54" i="5"/>
  <c r="B44" i="5"/>
  <c r="B47" i="5"/>
  <c r="J56" i="5"/>
  <c r="B55" i="5"/>
  <c r="J47" i="5"/>
  <c r="J45" i="5"/>
  <c r="B51" i="5"/>
  <c r="J44" i="5"/>
  <c r="J51" i="5"/>
  <c r="B46" i="5"/>
  <c r="B40" i="5"/>
  <c r="J46" i="5"/>
  <c r="B39" i="5"/>
  <c r="J54" i="5"/>
  <c r="B56" i="5"/>
  <c r="J52" i="5"/>
  <c r="J50" i="5"/>
  <c r="B42" i="5"/>
  <c r="J40" i="5"/>
  <c r="B53" i="5"/>
  <c r="J55" i="5"/>
  <c r="J43" i="5"/>
  <c r="B52" i="5"/>
  <c r="F14" i="4" l="1"/>
  <c r="E15" i="4"/>
  <c r="B12" i="5"/>
  <c r="H37" i="1"/>
  <c r="H11" i="1" s="1"/>
  <c r="F15" i="4" l="1"/>
  <c r="E16" i="4"/>
  <c r="B11" i="5"/>
  <c r="B34" i="5"/>
  <c r="B20" i="5"/>
  <c r="B33" i="5" s="1"/>
  <c r="F16" i="4" l="1"/>
  <c r="E17" i="4"/>
  <c r="B24" i="5"/>
  <c r="B31" i="5" s="1"/>
  <c r="C24" i="5"/>
  <c r="C31" i="5" s="1"/>
  <c r="B198" i="4"/>
  <c r="C198" i="4"/>
  <c r="I5" i="1"/>
  <c r="I11" i="1"/>
  <c r="I87" i="1"/>
  <c r="B35" i="5" l="1"/>
  <c r="A198" i="4" a="1"/>
  <c r="A198" i="4" s="1"/>
  <c r="I7" i="1" s="1"/>
  <c r="F17" i="4"/>
  <c r="E18" i="4"/>
  <c r="B189" i="4"/>
  <c r="C745" i="4"/>
  <c r="B745" i="4"/>
  <c r="E745" i="4"/>
  <c r="F18" i="4" l="1"/>
  <c r="E19" i="4"/>
  <c r="D745" i="4"/>
  <c r="A745" i="4" s="1"/>
  <c r="F19" i="4" l="1"/>
  <c r="E20" i="4"/>
  <c r="F20" i="4" l="1"/>
  <c r="E21" i="4"/>
  <c r="F21" i="4" l="1"/>
  <c r="E22" i="4"/>
  <c r="F22" i="4" l="1"/>
  <c r="E23" i="4"/>
  <c r="F23" i="4" l="1"/>
  <c r="E24" i="4"/>
  <c r="F24" i="4" l="1"/>
  <c r="E25" i="4"/>
  <c r="F25" i="4" l="1"/>
  <c r="E26" i="4"/>
  <c r="E27" i="4" l="1"/>
  <c r="F26" i="4"/>
  <c r="F27" i="4" l="1"/>
  <c r="E28" i="4"/>
  <c r="E29" i="4" l="1"/>
  <c r="F28" i="4"/>
  <c r="E30" i="4" l="1"/>
  <c r="F29" i="4"/>
  <c r="F30" i="4" l="1"/>
  <c r="E31" i="4"/>
  <c r="F31" i="4" l="1"/>
  <c r="E32" i="4"/>
  <c r="F32" i="4" l="1"/>
  <c r="E33" i="4"/>
  <c r="F33" i="4" l="1"/>
  <c r="E34" i="4"/>
  <c r="F34" i="4" l="1"/>
  <c r="E35" i="4"/>
  <c r="E36" i="4" l="1"/>
  <c r="F35" i="4"/>
  <c r="F36" i="4" l="1"/>
  <c r="E37" i="4"/>
  <c r="F37" i="4" l="1"/>
  <c r="E38" i="4"/>
  <c r="F38" i="4" l="1"/>
  <c r="E39" i="4"/>
  <c r="F39" i="4" l="1"/>
  <c r="E40" i="4"/>
  <c r="F40" i="4" l="1"/>
  <c r="E41" i="4"/>
  <c r="F41" i="4" l="1"/>
  <c r="E42" i="4"/>
  <c r="F42" i="4" l="1"/>
  <c r="E43" i="4"/>
  <c r="E44" i="4" l="1"/>
  <c r="F43" i="4"/>
  <c r="F44" i="4" l="1"/>
  <c r="E45" i="4"/>
  <c r="F45" i="4" l="1"/>
  <c r="E46" i="4"/>
  <c r="F46" i="4" l="1"/>
  <c r="E47" i="4"/>
  <c r="F47" i="4" l="1"/>
  <c r="E48" i="4"/>
  <c r="E49" i="4" l="1"/>
  <c r="F48" i="4"/>
  <c r="F49" i="4" l="1"/>
  <c r="E50" i="4"/>
  <c r="F50" i="4" l="1"/>
  <c r="E51" i="4"/>
  <c r="E52" i="4" l="1"/>
  <c r="F51" i="4"/>
  <c r="F52" i="4" l="1"/>
  <c r="E53" i="4"/>
  <c r="F53" i="4" l="1"/>
  <c r="E54" i="4"/>
  <c r="F54" i="4" l="1"/>
  <c r="E55" i="4"/>
  <c r="F55" i="4" l="1"/>
  <c r="E56" i="4"/>
  <c r="E57" i="4" l="1"/>
  <c r="F56" i="4"/>
  <c r="F57" i="4" l="1"/>
  <c r="E58" i="4"/>
  <c r="E59" i="4" l="1"/>
  <c r="F58" i="4"/>
  <c r="F59" i="4" l="1"/>
  <c r="E60" i="4"/>
  <c r="F60" i="4" l="1"/>
  <c r="E61" i="4"/>
  <c r="F61" i="4" l="1"/>
  <c r="E62" i="4"/>
  <c r="F62" i="4" l="1"/>
  <c r="E63" i="4"/>
  <c r="F63" i="4" l="1"/>
  <c r="E64" i="4"/>
  <c r="F64" i="4" l="1"/>
  <c r="E65" i="4"/>
  <c r="F65" i="4" l="1"/>
  <c r="E66" i="4"/>
  <c r="F66" i="4" l="1"/>
  <c r="E67" i="4"/>
  <c r="F67" i="4" l="1"/>
  <c r="E68" i="4"/>
  <c r="E69" i="4" l="1"/>
  <c r="F68" i="4"/>
  <c r="F69" i="4" l="1"/>
  <c r="E70" i="4"/>
  <c r="F70" i="4" l="1"/>
  <c r="E71" i="4"/>
  <c r="E72" i="4" l="1"/>
  <c r="F71" i="4"/>
  <c r="F72" i="4" l="1"/>
  <c r="E73" i="4"/>
  <c r="F73" i="4" l="1"/>
  <c r="E74" i="4"/>
  <c r="E75" i="4" l="1"/>
  <c r="F74" i="4"/>
  <c r="F75" i="4" l="1"/>
  <c r="E76" i="4"/>
  <c r="F76" i="4" l="1"/>
  <c r="E77" i="4"/>
  <c r="F77" i="4" l="1"/>
  <c r="E78" i="4"/>
  <c r="F78" i="4" l="1"/>
  <c r="E79" i="4"/>
  <c r="F79" i="4" l="1"/>
  <c r="E80" i="4"/>
  <c r="F80" i="4" l="1"/>
  <c r="E81" i="4"/>
  <c r="E82" i="4" l="1"/>
  <c r="F81" i="4"/>
  <c r="F82" i="4" l="1"/>
  <c r="E83" i="4"/>
  <c r="F83" i="4" l="1"/>
  <c r="E84" i="4"/>
  <c r="F84" i="4" l="1"/>
  <c r="E85" i="4"/>
  <c r="E86" i="4" l="1"/>
  <c r="F85" i="4"/>
  <c r="F86" i="4" l="1"/>
  <c r="E87" i="4"/>
  <c r="F87" i="4" l="1"/>
  <c r="E88" i="4"/>
  <c r="F88" i="4" l="1"/>
  <c r="E89" i="4"/>
  <c r="F89" i="4" l="1"/>
  <c r="E90" i="4"/>
  <c r="F90" i="4" l="1"/>
  <c r="E91" i="4"/>
  <c r="F91" i="4" l="1"/>
  <c r="E92" i="4"/>
  <c r="F92" i="4" l="1"/>
  <c r="E93" i="4"/>
  <c r="E94" i="4" l="1"/>
  <c r="F93" i="4"/>
  <c r="E95" i="4" l="1"/>
  <c r="F94" i="4"/>
  <c r="F95" i="4" l="1"/>
  <c r="E96" i="4"/>
  <c r="F96" i="4" l="1"/>
  <c r="E97" i="4"/>
  <c r="F97" i="4" l="1"/>
  <c r="E98" i="4"/>
  <c r="F98" i="4" l="1"/>
  <c r="E99" i="4"/>
  <c r="F99" i="4" l="1"/>
  <c r="E100" i="4"/>
  <c r="F100" i="4" l="1"/>
  <c r="E101" i="4"/>
  <c r="E102" i="4" l="1"/>
  <c r="F101" i="4"/>
  <c r="F102" i="4" l="1"/>
  <c r="E103" i="4"/>
  <c r="E104" i="4" l="1"/>
  <c r="F103" i="4"/>
  <c r="F104" i="4" l="1"/>
  <c r="E105" i="4"/>
  <c r="F105" i="4" l="1"/>
  <c r="E106" i="4"/>
  <c r="E107" i="4" l="1"/>
  <c r="F106" i="4"/>
  <c r="F107" i="4" l="1"/>
  <c r="E108" i="4"/>
  <c r="E109" i="4" l="1"/>
  <c r="F108" i="4"/>
  <c r="F109" i="4" l="1"/>
  <c r="E110" i="4"/>
  <c r="F110" i="4" s="1"/>
  <c r="F112" i="4" l="1"/>
  <c r="I84" i="1" s="1"/>
</calcChain>
</file>

<file path=xl/sharedStrings.xml><?xml version="1.0" encoding="utf-8"?>
<sst xmlns="http://schemas.openxmlformats.org/spreadsheetml/2006/main" count="1184" uniqueCount="846">
  <si>
    <t>Project title:</t>
  </si>
  <si>
    <t>File number:</t>
  </si>
  <si>
    <t>Main applicant:</t>
  </si>
  <si>
    <t>Summary</t>
  </si>
  <si>
    <t>Totals</t>
  </si>
  <si>
    <t>Personnel costs</t>
  </si>
  <si>
    <t>Total personnel costs:</t>
  </si>
  <si>
    <t>Sub total:</t>
  </si>
  <si>
    <t>Material costs</t>
  </si>
  <si>
    <t>Project-related goods/services</t>
  </si>
  <si>
    <t>Description</t>
  </si>
  <si>
    <t>Amount</t>
  </si>
  <si>
    <t>Travel and accommodation costs</t>
  </si>
  <si>
    <t>Investments</t>
  </si>
  <si>
    <t>Total material costs:</t>
  </si>
  <si>
    <t>Internationalisation and Money follows Cooperation</t>
  </si>
  <si>
    <t>Co-funding</t>
  </si>
  <si>
    <t>provide FTE and months.</t>
  </si>
  <si>
    <t>University</t>
  </si>
  <si>
    <t>NCB Naturalis</t>
  </si>
  <si>
    <t>Other</t>
  </si>
  <si>
    <t>TO2 institute</t>
  </si>
  <si>
    <t>Netherlands Cancer Institute</t>
  </si>
  <si>
    <t>Prinses Máxima Center for pediatric oncology</t>
  </si>
  <si>
    <t>UMC</t>
  </si>
  <si>
    <t>ARCNL</t>
  </si>
  <si>
    <t>Max Planck Institute for Psycholinguistics</t>
  </si>
  <si>
    <t>DUBBLE Beamline at the ESRF</t>
  </si>
  <si>
    <t>Business micro</t>
  </si>
  <si>
    <t>Business large</t>
  </si>
  <si>
    <t>Citizen initiative</t>
  </si>
  <si>
    <t>NGO</t>
  </si>
  <si>
    <t>Foundation</t>
  </si>
  <si>
    <t>Association</t>
  </si>
  <si>
    <t>Category</t>
  </si>
  <si>
    <t>FTE</t>
  </si>
  <si>
    <t>Months</t>
  </si>
  <si>
    <t>Personnel other institutes</t>
  </si>
  <si>
    <t>VSNU - Postdoc</t>
  </si>
  <si>
    <t>VSNU - Non-scientific personnel (MBO)</t>
  </si>
  <si>
    <t>VSNU - Non-scientific personnel (HBO)</t>
  </si>
  <si>
    <t>VSNU - Non-scientific personnel (WO)</t>
  </si>
  <si>
    <t>NFU - Postdoc</t>
  </si>
  <si>
    <t>NFU - Non-scientific personnel (MBO)</t>
  </si>
  <si>
    <t>NFU - Non-scientific personnel (HBO)</t>
  </si>
  <si>
    <t>NFU - Non-scientific personnel (WO)</t>
  </si>
  <si>
    <t>VSNU &amp; NFU - Other scientific personnel</t>
  </si>
  <si>
    <t>lijst tbv keuze instelling - gecombineerd:</t>
  </si>
  <si>
    <t>lijst tbv keuze instelling - other institutes:</t>
  </si>
  <si>
    <t>Project management</t>
  </si>
  <si>
    <t>KNAW institute</t>
  </si>
  <si>
    <t>NWO institute</t>
  </si>
  <si>
    <t>Organisation type</t>
  </si>
  <si>
    <t>University of applied sciences</t>
  </si>
  <si>
    <t>RKI (governmental knowledge institute)</t>
  </si>
  <si>
    <t>Public knowledge institute</t>
  </si>
  <si>
    <t>Private knowledge institute</t>
  </si>
  <si>
    <t>Healthcare organisation</t>
  </si>
  <si>
    <t>Business SME</t>
  </si>
  <si>
    <t>Governmental organisation</t>
  </si>
  <si>
    <t>VSNU - Research leave</t>
  </si>
  <si>
    <t>NFU - Research leave</t>
  </si>
  <si>
    <t>Start and end date:</t>
  </si>
  <si>
    <t>until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</si>
  <si>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</si>
  <si>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</si>
  <si>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</si>
  <si>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</si>
  <si>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</si>
  <si>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</si>
  <si>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</si>
  <si>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</si>
  <si>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</si>
  <si>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</si>
  <si>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</si>
  <si>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</si>
  <si>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</si>
  <si>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</si>
  <si>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</si>
  <si>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</si>
  <si>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</si>
  <si>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</si>
  <si>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</si>
  <si>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</si>
  <si>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</si>
  <si>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</si>
  <si>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</si>
  <si>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</si>
  <si>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</si>
  <si>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</si>
  <si>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</si>
  <si>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</si>
  <si>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</si>
  <si>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</si>
  <si>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</si>
  <si>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</si>
  <si>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</si>
  <si>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</si>
  <si>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</si>
  <si>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</si>
  <si>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</si>
  <si>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</si>
  <si>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</si>
  <si>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</si>
  <si>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</si>
  <si>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</si>
  <si>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</si>
  <si>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</si>
  <si>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</si>
  <si>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</si>
  <si>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</si>
  <si>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</si>
  <si>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</si>
  <si>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</si>
  <si>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</si>
  <si>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</si>
  <si>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</si>
  <si>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</si>
  <si>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</si>
  <si>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</si>
  <si>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</si>
  <si>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</si>
  <si>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</si>
  <si>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</si>
  <si>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</si>
  <si>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</si>
  <si>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</si>
  <si>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</si>
  <si>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</si>
  <si>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</si>
  <si>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</si>
  <si>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</si>
  <si>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</si>
  <si>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</si>
  <si>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</si>
  <si>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</si>
  <si>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</si>
  <si>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</si>
  <si>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</si>
  <si>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</si>
  <si>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</si>
  <si>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</si>
  <si>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</si>
  <si>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</si>
  <si>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</si>
  <si>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</si>
  <si>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</si>
  <si>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</si>
  <si>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</si>
  <si>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</si>
  <si>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</si>
  <si>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</si>
  <si>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</si>
  <si>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</si>
  <si>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</si>
  <si>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</si>
  <si>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</si>
  <si>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</si>
  <si>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</si>
  <si>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</si>
  <si>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category</t>
  </si>
  <si>
    <t>Max NWO funding</t>
  </si>
  <si>
    <t>Benchfee amount</t>
  </si>
  <si>
    <t>Hourly rate</t>
  </si>
  <si>
    <t>Section CfP max tariffs personell other institutes.</t>
  </si>
  <si>
    <t>3.2.1</t>
  </si>
  <si>
    <t xml:space="preserve"> </t>
  </si>
  <si>
    <t xml:space="preserve">  </t>
  </si>
  <si>
    <t xml:space="preserve">   </t>
  </si>
  <si>
    <t>Country</t>
  </si>
  <si>
    <t>TKI/PPS-allowance</t>
  </si>
  <si>
    <t>General parameters</t>
  </si>
  <si>
    <t>Lists</t>
  </si>
  <si>
    <t>keuzelijst instelling - academisch:</t>
  </si>
  <si>
    <t>Max project duration [months]</t>
  </si>
  <si>
    <t>VSNU - PhD</t>
  </si>
  <si>
    <t>VSNU - PDEng</t>
  </si>
  <si>
    <t>VSNU - 3-year PhD Position</t>
  </si>
  <si>
    <t>NFU - PhD</t>
  </si>
  <si>
    <t>NFU - PDEng</t>
  </si>
  <si>
    <t>NFU - 3-year PhD Position</t>
  </si>
  <si>
    <t>File originally created:</t>
  </si>
  <si>
    <t>Personnel</t>
  </si>
  <si>
    <t>date VSNU rates</t>
  </si>
  <si>
    <t>date NFU rates</t>
  </si>
  <si>
    <t>date HOT rates</t>
  </si>
  <si>
    <t>Maximum amount Other scientific personnel</t>
  </si>
  <si>
    <t>Own contribution applicable?</t>
  </si>
  <si>
    <t>yes</t>
  </si>
  <si>
    <t>Maximum amount without own contribution</t>
  </si>
  <si>
    <t>Min % own contribution above threshold amount</t>
  </si>
  <si>
    <t>Min total amount investments</t>
  </si>
  <si>
    <t>Max total amount investments</t>
  </si>
  <si>
    <t>Row in table</t>
  </si>
  <si>
    <t>Total:</t>
  </si>
  <si>
    <t>FTE*year</t>
  </si>
  <si>
    <t>Salary table VSNU/NFU</t>
  </si>
  <si>
    <t>Salary table personnel other institutes</t>
  </si>
  <si>
    <t>Max hourly rate</t>
  </si>
  <si>
    <t>instruction</t>
  </si>
  <si>
    <t>Totals:</t>
  </si>
  <si>
    <t>Materials</t>
  </si>
  <si>
    <t>Type HOT rates</t>
  </si>
  <si>
    <t>Cost Plus</t>
  </si>
  <si>
    <t>Costs accountant</t>
  </si>
  <si>
    <t>Knowledge Utilisation and Entrepeneurship</t>
  </si>
  <si>
    <t>Minimal amount, % of NWO contribution</t>
  </si>
  <si>
    <t>Max amount KU and Entrepeneurship</t>
  </si>
  <si>
    <t>Max amount Internationalisation and MfC</t>
  </si>
  <si>
    <t>Max amount MfC, % of NWO contribution</t>
  </si>
  <si>
    <t>Max amount, % of NWO contribution</t>
  </si>
  <si>
    <t>Min % co-funding, of total project budget</t>
  </si>
  <si>
    <t>Max % co-funding, of total project budget</t>
  </si>
  <si>
    <t>Min % in-cash co-funding, of total project budget</t>
  </si>
  <si>
    <t>Invoicing via NWO/knowledge institute</t>
  </si>
  <si>
    <t>Country Correction Coefficients</t>
  </si>
  <si>
    <t>https://www.nwo.nl/documents/nwo/beleid/money-follows-cooperation/nwo-country-correction-coefficients-ccc</t>
  </si>
  <si>
    <t>https://www.iso.org/iso-3166-country-codes.html</t>
  </si>
  <si>
    <t>Code</t>
  </si>
  <si>
    <t>Code and Country</t>
  </si>
  <si>
    <t>CC</t>
  </si>
  <si>
    <t>Categorie</t>
  </si>
  <si>
    <t>AL</t>
  </si>
  <si>
    <t>Albania</t>
  </si>
  <si>
    <t>Other Horizon 2020</t>
  </si>
  <si>
    <t>DZ</t>
  </si>
  <si>
    <t>Algeria</t>
  </si>
  <si>
    <t>Third countries</t>
  </si>
  <si>
    <t>AO</t>
  </si>
  <si>
    <t>Angola</t>
  </si>
  <si>
    <t>AR</t>
  </si>
  <si>
    <t>Argentina</t>
  </si>
  <si>
    <t>AM</t>
  </si>
  <si>
    <t>Armenia</t>
  </si>
  <si>
    <t>AU</t>
  </si>
  <si>
    <t>Australia</t>
  </si>
  <si>
    <t>AT</t>
  </si>
  <si>
    <t>Austria</t>
  </si>
  <si>
    <t>EU member states</t>
  </si>
  <si>
    <t>AZ</t>
  </si>
  <si>
    <t>Azerbaijan</t>
  </si>
  <si>
    <t>BD</t>
  </si>
  <si>
    <t>Bangladesh</t>
  </si>
  <si>
    <t>BB</t>
  </si>
  <si>
    <t>Barbados</t>
  </si>
  <si>
    <t>BY</t>
  </si>
  <si>
    <t>Belarus</t>
  </si>
  <si>
    <t>BE</t>
  </si>
  <si>
    <t>Belgium</t>
  </si>
  <si>
    <t>BZ</t>
  </si>
  <si>
    <t>Belize</t>
  </si>
  <si>
    <t>BJ</t>
  </si>
  <si>
    <t>Benin</t>
  </si>
  <si>
    <t>BM</t>
  </si>
  <si>
    <t>Bermuda</t>
  </si>
  <si>
    <t>BO</t>
  </si>
  <si>
    <t>Bolivia (Plurinational State of)</t>
  </si>
  <si>
    <t>BA</t>
  </si>
  <si>
    <t>Bosnia and Herzegovina</t>
  </si>
  <si>
    <t>BW</t>
  </si>
  <si>
    <t>Botswana</t>
  </si>
  <si>
    <t>BR</t>
  </si>
  <si>
    <t>Brazil</t>
  </si>
  <si>
    <t>BG</t>
  </si>
  <si>
    <t>Bulgaria</t>
  </si>
  <si>
    <t>BF</t>
  </si>
  <si>
    <t>Burkina Faso</t>
  </si>
  <si>
    <t>BI</t>
  </si>
  <si>
    <t>Burundi</t>
  </si>
  <si>
    <t>CV</t>
  </si>
  <si>
    <t>Cabo Verde</t>
  </si>
  <si>
    <t>KH</t>
  </si>
  <si>
    <t>Cambodia</t>
  </si>
  <si>
    <t>CM</t>
  </si>
  <si>
    <t>Cameroon</t>
  </si>
  <si>
    <t>CA</t>
  </si>
  <si>
    <t>Canada</t>
  </si>
  <si>
    <t>CF</t>
  </si>
  <si>
    <t>Central African Republic (the)</t>
  </si>
  <si>
    <t>TD</t>
  </si>
  <si>
    <t>Chad</t>
  </si>
  <si>
    <t>CL</t>
  </si>
  <si>
    <t>Chile</t>
  </si>
  <si>
    <t>CN</t>
  </si>
  <si>
    <t>China</t>
  </si>
  <si>
    <t>CO</t>
  </si>
  <si>
    <t>Colombia</t>
  </si>
  <si>
    <t>KM</t>
  </si>
  <si>
    <t>Comoros (the)</t>
  </si>
  <si>
    <t>CD</t>
  </si>
  <si>
    <t>Congo (the Democratic Republic of the)</t>
  </si>
  <si>
    <t>CG</t>
  </si>
  <si>
    <t>Congo (the)</t>
  </si>
  <si>
    <t>CR</t>
  </si>
  <si>
    <t>Costa Rica</t>
  </si>
  <si>
    <t>CI</t>
  </si>
  <si>
    <t>Côte d'Ivoire</t>
  </si>
  <si>
    <t>HR</t>
  </si>
  <si>
    <t>Croatia</t>
  </si>
  <si>
    <t>CU</t>
  </si>
  <si>
    <t>Cuba</t>
  </si>
  <si>
    <t>CY</t>
  </si>
  <si>
    <t>Cyprus</t>
  </si>
  <si>
    <t>CZ</t>
  </si>
  <si>
    <t>Czechia</t>
  </si>
  <si>
    <t>DK</t>
  </si>
  <si>
    <t>Denmark</t>
  </si>
  <si>
    <t>DJ</t>
  </si>
  <si>
    <t>Djibouti</t>
  </si>
  <si>
    <t>DO</t>
  </si>
  <si>
    <t>Dominican Republic (the)</t>
  </si>
  <si>
    <t>EC</t>
  </si>
  <si>
    <t>Ecuador</t>
  </si>
  <si>
    <t>EG</t>
  </si>
  <si>
    <t>Egypt</t>
  </si>
  <si>
    <t>SV</t>
  </si>
  <si>
    <t>El Salvador</t>
  </si>
  <si>
    <t>ER</t>
  </si>
  <si>
    <t>Eritrea</t>
  </si>
  <si>
    <t>EE</t>
  </si>
  <si>
    <t>Estonia</t>
  </si>
  <si>
    <t>SZ</t>
  </si>
  <si>
    <t>Eswatini</t>
  </si>
  <si>
    <t>ET</t>
  </si>
  <si>
    <t>Ethiopia</t>
  </si>
  <si>
    <t>FO</t>
  </si>
  <si>
    <t>Faroe Islands (the)</t>
  </si>
  <si>
    <t>FJ</t>
  </si>
  <si>
    <t>Fiji</t>
  </si>
  <si>
    <t>FI</t>
  </si>
  <si>
    <t>Finland</t>
  </si>
  <si>
    <t>FR</t>
  </si>
  <si>
    <t>France</t>
  </si>
  <si>
    <t>GA</t>
  </si>
  <si>
    <t>Gabon</t>
  </si>
  <si>
    <t>GM</t>
  </si>
  <si>
    <t>Gambia (the)</t>
  </si>
  <si>
    <t>GE</t>
  </si>
  <si>
    <t>Georgia</t>
  </si>
  <si>
    <t>DE</t>
  </si>
  <si>
    <t>Germany</t>
  </si>
  <si>
    <t>GH</t>
  </si>
  <si>
    <t>Ghana</t>
  </si>
  <si>
    <t>GT</t>
  </si>
  <si>
    <t>Guatemala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</si>
  <si>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</si>
  <si>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</si>
  <si>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</si>
  <si>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</si>
  <si>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</si>
  <si>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</si>
  <si>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</si>
  <si>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</si>
  <si>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HN</t>
  </si>
  <si>
    <t>Honduras</t>
  </si>
  <si>
    <t>HK</t>
  </si>
  <si>
    <t>Hong Kong</t>
  </si>
  <si>
    <t>HU</t>
  </si>
  <si>
    <t>Hungary</t>
  </si>
  <si>
    <t>IS</t>
  </si>
  <si>
    <t>Iceland</t>
  </si>
  <si>
    <t>IN</t>
  </si>
  <si>
    <t>India</t>
  </si>
  <si>
    <t>ID</t>
  </si>
  <si>
    <t>Indonesia</t>
  </si>
  <si>
    <t>IE</t>
  </si>
  <si>
    <t>Ireland</t>
  </si>
  <si>
    <t>IL</t>
  </si>
  <si>
    <t>Israel</t>
  </si>
  <si>
    <t>IT</t>
  </si>
  <si>
    <t>Italy</t>
  </si>
  <si>
    <t>JM</t>
  </si>
  <si>
    <t>Jamaica</t>
  </si>
  <si>
    <t>JP</t>
  </si>
  <si>
    <t>Japan</t>
  </si>
  <si>
    <t>JO</t>
  </si>
  <si>
    <t>Jordan</t>
  </si>
  <si>
    <t>KZ</t>
  </si>
  <si>
    <t>Kazakhstan</t>
  </si>
  <si>
    <t>KE</t>
  </si>
  <si>
    <t>Kenya</t>
  </si>
  <si>
    <t>KR</t>
  </si>
  <si>
    <t>Korea (the Republic of)</t>
  </si>
  <si>
    <t>KG</t>
  </si>
  <si>
    <t>Kyrgyzstan</t>
  </si>
  <si>
    <t>LA</t>
  </si>
  <si>
    <t>Lao People's Democratic Republic (the)</t>
  </si>
  <si>
    <t>LV</t>
  </si>
  <si>
    <t>Latvia</t>
  </si>
  <si>
    <t>LB</t>
  </si>
  <si>
    <t>Lebanon</t>
  </si>
  <si>
    <t>LS</t>
  </si>
  <si>
    <t>Lesotho</t>
  </si>
  <si>
    <t>LR</t>
  </si>
  <si>
    <t>Liberia</t>
  </si>
  <si>
    <t>LY</t>
  </si>
  <si>
    <t>Libya</t>
  </si>
  <si>
    <t>LI</t>
  </si>
  <si>
    <t>Liechtenstein</t>
  </si>
  <si>
    <t>LT</t>
  </si>
  <si>
    <t>Lithuania</t>
  </si>
  <si>
    <t>LU</t>
  </si>
  <si>
    <t>Luxembourg</t>
  </si>
  <si>
    <t>MG</t>
  </si>
  <si>
    <t>Madagascar</t>
  </si>
  <si>
    <t>MW</t>
  </si>
  <si>
    <t>Malawi</t>
  </si>
  <si>
    <t>MY</t>
  </si>
  <si>
    <t>Malaysia</t>
  </si>
  <si>
    <t>ML</t>
  </si>
  <si>
    <t>Mali</t>
  </si>
  <si>
    <t>MT</t>
  </si>
  <si>
    <t>Malta</t>
  </si>
  <si>
    <t>MR</t>
  </si>
  <si>
    <t>Mauritania</t>
  </si>
  <si>
    <t>MU</t>
  </si>
  <si>
    <t>Mauritius</t>
  </si>
  <si>
    <t>MX</t>
  </si>
  <si>
    <t>Mexico</t>
  </si>
  <si>
    <t>MD</t>
  </si>
  <si>
    <t>Moldova (the Republic of)</t>
  </si>
  <si>
    <t>ME</t>
  </si>
  <si>
    <t>Montenegro</t>
  </si>
  <si>
    <t>MA</t>
  </si>
  <si>
    <t>Morocco</t>
  </si>
  <si>
    <t>MZ</t>
  </si>
  <si>
    <t>Mozambique</t>
  </si>
  <si>
    <t>MM</t>
  </si>
  <si>
    <t>Myanmar</t>
  </si>
  <si>
    <t>NA</t>
  </si>
  <si>
    <t>Namibia</t>
  </si>
  <si>
    <t>NP</t>
  </si>
  <si>
    <t>Nepal</t>
  </si>
  <si>
    <t>NL</t>
  </si>
  <si>
    <t>Netherlands (the)</t>
  </si>
  <si>
    <t>NC</t>
  </si>
  <si>
    <t>New Caledonia</t>
  </si>
  <si>
    <t>NZ</t>
  </si>
  <si>
    <t>New Zealand</t>
  </si>
  <si>
    <t>NI</t>
  </si>
  <si>
    <t>Nicaragua</t>
  </si>
  <si>
    <t>NE</t>
  </si>
  <si>
    <t>Niger (the)</t>
  </si>
  <si>
    <t>NG</t>
  </si>
  <si>
    <t>Nigeria</t>
  </si>
  <si>
    <t>MK</t>
  </si>
  <si>
    <t>North Macedonia</t>
  </si>
  <si>
    <t>NO</t>
  </si>
  <si>
    <t>Norway</t>
  </si>
  <si>
    <t>PK</t>
  </si>
  <si>
    <t>Pakistan</t>
  </si>
  <si>
    <t>PS</t>
  </si>
  <si>
    <t>PA</t>
  </si>
  <si>
    <t>Panama</t>
  </si>
  <si>
    <t>PG</t>
  </si>
  <si>
    <t>Papua New Guinea</t>
  </si>
  <si>
    <t>PY</t>
  </si>
  <si>
    <t>Paraguay</t>
  </si>
  <si>
    <t>PE</t>
  </si>
  <si>
    <t>Peru</t>
  </si>
  <si>
    <t>PH</t>
  </si>
  <si>
    <t>Philippines (the)</t>
  </si>
  <si>
    <t>PL</t>
  </si>
  <si>
    <t>Poland</t>
  </si>
  <si>
    <t>PT</t>
  </si>
  <si>
    <t>Portugal</t>
  </si>
  <si>
    <t>RO</t>
  </si>
  <si>
    <t>Romania</t>
  </si>
  <si>
    <t>RU</t>
  </si>
  <si>
    <t>Russian Federation (the)</t>
  </si>
  <si>
    <t>RW</t>
  </si>
  <si>
    <t>Rwanda</t>
  </si>
  <si>
    <t>WS</t>
  </si>
  <si>
    <t>Samoa</t>
  </si>
  <si>
    <t>SA</t>
  </si>
  <si>
    <t>Saudi Arabia</t>
  </si>
  <si>
    <t>SN</t>
  </si>
  <si>
    <t>Senegal</t>
  </si>
  <si>
    <t>RS</t>
  </si>
  <si>
    <t>Serbia</t>
  </si>
  <si>
    <t>SL</t>
  </si>
  <si>
    <t>Sierra Leone</t>
  </si>
  <si>
    <t>SG</t>
  </si>
  <si>
    <t>Singapore</t>
  </si>
  <si>
    <t>SK</t>
  </si>
  <si>
    <t>Slovakia</t>
  </si>
  <si>
    <t>SI</t>
  </si>
  <si>
    <t>Slovenia</t>
  </si>
  <si>
    <t>SB</t>
  </si>
  <si>
    <t>Solomon Islands</t>
  </si>
  <si>
    <t>ZA</t>
  </si>
  <si>
    <t>South Africa</t>
  </si>
  <si>
    <t>ES</t>
  </si>
  <si>
    <t>Spain</t>
  </si>
  <si>
    <t>LK</t>
  </si>
  <si>
    <t>Sri Lanka</t>
  </si>
  <si>
    <t>SD</t>
  </si>
  <si>
    <t>Sudan (the)</t>
  </si>
  <si>
    <t>SR</t>
  </si>
  <si>
    <t>Suriname</t>
  </si>
  <si>
    <t>SE</t>
  </si>
  <si>
    <t>Sweden</t>
  </si>
  <si>
    <t>CH</t>
  </si>
  <si>
    <t>Switzerland</t>
  </si>
  <si>
    <t>SY</t>
  </si>
  <si>
    <t>Syrian Arab Republic (the)</t>
  </si>
  <si>
    <t>TW</t>
  </si>
  <si>
    <t>Taiwan (Province of China)</t>
  </si>
  <si>
    <t>TJ</t>
  </si>
  <si>
    <t>Tajikistan</t>
  </si>
  <si>
    <t>TZ</t>
  </si>
  <si>
    <t>Tanzania, the United Republic of</t>
  </si>
  <si>
    <t>TH</t>
  </si>
  <si>
    <t>Thailand</t>
  </si>
  <si>
    <t>TL</t>
  </si>
  <si>
    <t>Timor-Leste</t>
  </si>
  <si>
    <t>TG</t>
  </si>
  <si>
    <t>Togo</t>
  </si>
  <si>
    <t>TO</t>
  </si>
  <si>
    <t>Tonga</t>
  </si>
  <si>
    <t>TT</t>
  </si>
  <si>
    <t>Trinidad and Tobago</t>
  </si>
  <si>
    <t>TN</t>
  </si>
  <si>
    <t>Tunisia</t>
  </si>
  <si>
    <t>TR</t>
  </si>
  <si>
    <t>Turkey</t>
  </si>
  <si>
    <t>TM</t>
  </si>
  <si>
    <t>Turkmenistan</t>
  </si>
  <si>
    <t>UG</t>
  </si>
  <si>
    <t>Uganda</t>
  </si>
  <si>
    <t>UA</t>
  </si>
  <si>
    <t>Ukraine</t>
  </si>
  <si>
    <t>AE</t>
  </si>
  <si>
    <t>United Arab Emirates (the)</t>
  </si>
  <si>
    <t>UK</t>
  </si>
  <si>
    <t>United Kingdom of Great Britain and Northern Ireland (the)</t>
  </si>
  <si>
    <t>US</t>
  </si>
  <si>
    <t>United States of America (the)</t>
  </si>
  <si>
    <t>UY</t>
  </si>
  <si>
    <t>Uruguay</t>
  </si>
  <si>
    <t>UZ</t>
  </si>
  <si>
    <t>Uzbekistan</t>
  </si>
  <si>
    <t>VU</t>
  </si>
  <si>
    <t>Vanuatu</t>
  </si>
  <si>
    <t>VE</t>
  </si>
  <si>
    <t>Venezuela (Bolivarian Republic of)</t>
  </si>
  <si>
    <t>VN</t>
  </si>
  <si>
    <t>Viet Nam</t>
  </si>
  <si>
    <t>YE</t>
  </si>
  <si>
    <t>Yemen</t>
  </si>
  <si>
    <t>ZM</t>
  </si>
  <si>
    <t>Zambia</t>
  </si>
  <si>
    <t>ZW</t>
  </si>
  <si>
    <t>Zimbabwe</t>
  </si>
  <si>
    <t>EL</t>
  </si>
  <si>
    <t>XK</t>
  </si>
  <si>
    <t>Checks on input</t>
  </si>
  <si>
    <t>Check exceeding max amount Other Scientific Personnel</t>
  </si>
  <si>
    <t>Situation</t>
  </si>
  <si>
    <t>Message</t>
  </si>
  <si>
    <t>Nr of months of academic personnel exceeding max project duration (or &gt;96 months).</t>
  </si>
  <si>
    <t>Number of months exceeds maximum.</t>
  </si>
  <si>
    <t>Exceeding nr months</t>
  </si>
  <si>
    <t>Row nr</t>
  </si>
  <si>
    <t>Appointment 3-year PhD less than the equivalent of 36 full-time months</t>
  </si>
  <si>
    <t>3y PhD &lt;36 months</t>
  </si>
  <si>
    <t>PDEng combination with PhD/PD</t>
  </si>
  <si>
    <t>PDENg position can only be requested if also PhD or PD position is requested.</t>
  </si>
  <si>
    <t>PDEng duration</t>
  </si>
  <si>
    <t>PD min duration</t>
  </si>
  <si>
    <t>PD max duration</t>
  </si>
  <si>
    <t>NSP combi</t>
  </si>
  <si>
    <t>NSP max amount</t>
  </si>
  <si>
    <t>Check exceeding max amount Non-Scientific Personnel</t>
  </si>
  <si>
    <t>NSP min duration</t>
  </si>
  <si>
    <t>NSP max duration</t>
  </si>
  <si>
    <t>Combined notes</t>
  </si>
  <si>
    <t>Other scientific personnel only in combination with PhD or PD</t>
  </si>
  <si>
    <t>An OSP-position can only be applied for in combination with a PostDoc and/or Phd/PDEng/MD PhD.</t>
  </si>
  <si>
    <t>OSP combi with PD/PhD</t>
  </si>
  <si>
    <t>OSP max amount</t>
  </si>
  <si>
    <t>OSP min duration</t>
  </si>
  <si>
    <t>OSP max duration</t>
  </si>
  <si>
    <t>Research leave - max duration</t>
  </si>
  <si>
    <t>Check exceeding max FTE * months Research leave</t>
  </si>
  <si>
    <t>Combined notes per position - academic</t>
  </si>
  <si>
    <t>Benchfee - requested number of benchfees exceeds FTE</t>
  </si>
  <si>
    <t>Check FTE*year by Scientific employee non-academic for Material costs</t>
  </si>
  <si>
    <t>Row in table containing 'researcher'</t>
  </si>
  <si>
    <t>years</t>
  </si>
  <si>
    <t>Maximum allowed requested material budget per non-academic researcher, per year of appointment</t>
  </si>
  <si>
    <t>Minimum FTE of non-academic researcher to allow for material budget</t>
  </si>
  <si>
    <t>Minimum nr of months appointment of non-academic researcher to allow for material budget</t>
  </si>
  <si>
    <t># hours/year for non-academic personnel</t>
  </si>
  <si>
    <t>Benchee - requested for non-specified category</t>
  </si>
  <si>
    <t>Benchfee can only be requested for PhD and Postdoc positions.</t>
  </si>
  <si>
    <t>Total amount of KU and entrepeneurship too low</t>
  </si>
  <si>
    <t>Total amount of KU and entrepeneurship too high</t>
  </si>
  <si>
    <t>Total amount Internationalisation and MfC too high</t>
  </si>
  <si>
    <t>Project management - cannot be requested</t>
  </si>
  <si>
    <t>Project management - exceeding max amount</t>
  </si>
  <si>
    <t>In-cash cofunding - not enough</t>
  </si>
  <si>
    <t>Cofunding - not enough</t>
  </si>
  <si>
    <t>Cofunding - too much</t>
  </si>
  <si>
    <t>VSNU:</t>
  </si>
  <si>
    <t>NFU:</t>
  </si>
  <si>
    <t>HOT-Tabel van:</t>
  </si>
  <si>
    <t>-Personnel other institutes</t>
  </si>
  <si>
    <t>Total Material</t>
  </si>
  <si>
    <t>Total project management</t>
  </si>
  <si>
    <t>Date:</t>
  </si>
  <si>
    <t>Checklist valid entries</t>
  </si>
  <si>
    <t>Start date later than end date</t>
  </si>
  <si>
    <t>Start date before end date.</t>
  </si>
  <si>
    <t>Start date before today</t>
  </si>
  <si>
    <t>Start date lies in the past.</t>
  </si>
  <si>
    <t>Duration proposed project in months:</t>
  </si>
  <si>
    <t>Threshold amount min. Cofunding</t>
  </si>
  <si>
    <t>Name organisation main applicant:</t>
  </si>
  <si>
    <t>Type organisation main applicant:</t>
  </si>
  <si>
    <t>Cofunding - not enough, including threshold amount</t>
  </si>
  <si>
    <t>Requested NWO budget too high</t>
  </si>
  <si>
    <t>Min NWO funding</t>
  </si>
  <si>
    <t>Requested NWO budget too low</t>
  </si>
  <si>
    <t>Project duration too long</t>
  </si>
  <si>
    <t>private?</t>
  </si>
  <si>
    <t>no</t>
  </si>
  <si>
    <t>Private co-funding - inkind</t>
  </si>
  <si>
    <t>list cofunders</t>
  </si>
  <si>
    <t>Private co-funding - incash</t>
  </si>
  <si>
    <t>Total priv. cof.:</t>
  </si>
  <si>
    <t>Private cofunding - not enough</t>
  </si>
  <si>
    <t>Min % of private co-funding, of total project budget</t>
  </si>
  <si>
    <t>Organisation</t>
  </si>
  <si>
    <t>An NSP-position can only be applied for in combination with PostDoc and/or Phd/PDEng/MD PhD.</t>
  </si>
  <si>
    <t>Max amount Internationalisation</t>
  </si>
  <si>
    <t>Max amount Internationalisation, % of NWO contribution</t>
  </si>
  <si>
    <t>Total amount for Internationalisation too high - amount</t>
  </si>
  <si>
    <t>Total amount for Internationalisation too high - percentage</t>
  </si>
  <si>
    <t>Max amount MfC</t>
  </si>
  <si>
    <t>Total amount for MfC too high - percentage</t>
  </si>
  <si>
    <t>Total amount for MfC too high - amount</t>
  </si>
  <si>
    <t>Max amount Int + MfC, % of NWO contribution</t>
  </si>
  <si>
    <t>Total amount Internationalisation and MfC too high - amount</t>
  </si>
  <si>
    <t>Name call:</t>
  </si>
  <si>
    <t>Cash cofunding via:</t>
  </si>
  <si>
    <t>Expenses</t>
  </si>
  <si>
    <t>Budget post</t>
  </si>
  <si>
    <t>Total personnel</t>
  </si>
  <si>
    <t>-Personnel ac. institutes (incl benchfee)</t>
  </si>
  <si>
    <r>
      <t xml:space="preserve">Total Investments </t>
    </r>
    <r>
      <rPr>
        <b/>
        <i/>
        <sz val="10"/>
        <color theme="1"/>
        <rFont val="Calibri"/>
        <family val="2"/>
        <scheme val="minor"/>
      </rPr>
      <t>(incl by inst)</t>
    </r>
  </si>
  <si>
    <t>Total required resources</t>
  </si>
  <si>
    <t>Funding</t>
  </si>
  <si>
    <t>Via NWO</t>
  </si>
  <si>
    <t>Via institute</t>
  </si>
  <si>
    <t>NWO funding</t>
  </si>
  <si>
    <t>N/A</t>
  </si>
  <si>
    <t>In-kind cofunding</t>
  </si>
  <si>
    <t>Investments via institute</t>
  </si>
  <si>
    <t>In-cash cofunding</t>
  </si>
  <si>
    <t>Project fee</t>
  </si>
  <si>
    <t>-Total in-cash</t>
  </si>
  <si>
    <t>Total funding</t>
  </si>
  <si>
    <t>Total project budget</t>
  </si>
  <si>
    <t>Total requested NWO budget</t>
  </si>
  <si>
    <t>Total via NWO (for tranches)</t>
  </si>
  <si>
    <t>Cofunding per organisation type (excl TKI/PPS-allowance)</t>
  </si>
  <si>
    <t>Type of funding</t>
  </si>
  <si>
    <t>No organisation type given</t>
  </si>
  <si>
    <t>Organisation type applicable</t>
  </si>
  <si>
    <t>Organisation type not specified.</t>
  </si>
  <si>
    <t>per individual budget post</t>
  </si>
  <si>
    <t>Research leave - max perc of NWO funding</t>
  </si>
  <si>
    <t>Research leave - max duration [eq. months]</t>
  </si>
  <si>
    <t>Min amount KU, % of NWO contribution</t>
  </si>
  <si>
    <t>Max amount KU, % of NWO contribution</t>
  </si>
  <si>
    <t>No category selected</t>
  </si>
  <si>
    <t>Hourly rate too high</t>
  </si>
  <si>
    <t>Pers other inst - no category selected</t>
  </si>
  <si>
    <t>No personnel category is selected.</t>
  </si>
  <si>
    <t>Pers other inst - hourly rate too high</t>
  </si>
  <si>
    <t>PDEng - combination with PhD or Postdoc</t>
  </si>
  <si>
    <t>PDEng - too long</t>
  </si>
  <si>
    <t>Postdoc - too short</t>
  </si>
  <si>
    <t>Postdoc - too long</t>
  </si>
  <si>
    <t>NSP - combination with PhD or PD</t>
  </si>
  <si>
    <t>NSP - exceeding max amount</t>
  </si>
  <si>
    <t>Maximum amount Non-Scientific Personnel</t>
  </si>
  <si>
    <t>Other scientific personnel - max amount exceeded</t>
  </si>
  <si>
    <t>OSP position- (equivalent) duration not long enough</t>
  </si>
  <si>
    <t>OSP position - (equivalent) duration too long</t>
  </si>
  <si>
    <t>Research leave - (equivalent) duration too long</t>
  </si>
  <si>
    <t>Research leave - total max amount exceeded</t>
  </si>
  <si>
    <t>NSP position- (equivalent) duration not long enough</t>
  </si>
  <si>
    <t>NSP position - (equivalent) duration too long</t>
  </si>
  <si>
    <t>Max (equiv) duration NSP position [months]</t>
  </si>
  <si>
    <t>Min (equiv) duration OSP position [months]</t>
  </si>
  <si>
    <t>Max (equiv) duration OSP position [months]</t>
  </si>
  <si>
    <t>Min (equiv) duration NSP position [months]</t>
  </si>
  <si>
    <t>Min (equiv.) duration PhD [months]</t>
  </si>
  <si>
    <t>Min (equiv.) duration 3-year PhD [months]</t>
  </si>
  <si>
    <t>Min (equiv.) duration PD [months]</t>
  </si>
  <si>
    <t>Max (equiv.) duration PD [months]</t>
  </si>
  <si>
    <t>Max (equiv.) duration PDEng [months]</t>
  </si>
  <si>
    <t>Research Leave - amount</t>
  </si>
  <si>
    <t>Costs specified</t>
  </si>
  <si>
    <t>Personnel ac - costs specified, but not relevant</t>
  </si>
  <si>
    <t>Costs are specified, but default rates apply.</t>
  </si>
  <si>
    <t>Minimal threshold NWO funding above which Proj Mngmt may be requested</t>
  </si>
  <si>
    <t>Material - amount too high</t>
  </si>
  <si>
    <t>Minimum total costs cleanroom (if &gt;€ 0)</t>
  </si>
  <si>
    <t xml:space="preserve">Maximum total costs cleanroom </t>
  </si>
  <si>
    <t>Material - cleanroom costs too low</t>
  </si>
  <si>
    <t>Material - cleanroom costs too high</t>
  </si>
  <si>
    <t>Investments - contribution KI too low (indiv budget posts)</t>
  </si>
  <si>
    <t>Investments - budget too low</t>
  </si>
  <si>
    <t>Remarks</t>
  </si>
  <si>
    <t>Name organisation</t>
  </si>
  <si>
    <t>Name org</t>
  </si>
  <si>
    <t>Scale</t>
  </si>
  <si>
    <t>Total # hrs</t>
  </si>
  <si>
    <t>Combined notes per position - other institutes (2017 table)</t>
  </si>
  <si>
    <t>Combined notes per position - other institutes (2021 table)</t>
  </si>
  <si>
    <t>Pers other inst 2021 - no description provided</t>
  </si>
  <si>
    <t>No description provided.</t>
  </si>
  <si>
    <t xml:space="preserve">    </t>
  </si>
  <si>
    <t>Total amount of KU too low</t>
  </si>
  <si>
    <t>provide FTE, months and costs.</t>
  </si>
  <si>
    <t>MfC personnel - no costs given for Other Scientific personnel</t>
  </si>
  <si>
    <t>MfC personnel - country not specified</t>
  </si>
  <si>
    <t>Provide country for this position.</t>
  </si>
  <si>
    <t>Combined notes per position - MfC academic personnel</t>
  </si>
  <si>
    <t>MfC personnel - no category provided</t>
  </si>
  <si>
    <t>Provide the category for this position.</t>
  </si>
  <si>
    <t>OSP - costs</t>
  </si>
  <si>
    <t>Country not specified</t>
  </si>
  <si>
    <t>Instruction</t>
  </si>
  <si>
    <t>Provide costs for this position.</t>
  </si>
  <si>
    <t>cost not relevant</t>
  </si>
  <si>
    <t>MfC personnel - costs specified but not applicable</t>
  </si>
  <si>
    <t>MfC personnel - organisation type not specified</t>
  </si>
  <si>
    <t>MfC personnel - organisation name not specified</t>
  </si>
  <si>
    <t>organisation type</t>
  </si>
  <si>
    <t>organisation name</t>
  </si>
  <si>
    <t>Organisation name applicable</t>
  </si>
  <si>
    <t>Combined notes cofunding</t>
  </si>
  <si>
    <t>too less - no threshold</t>
  </si>
  <si>
    <t>too less - incl threshold</t>
  </si>
  <si>
    <t>too much</t>
  </si>
  <si>
    <t>private part too low</t>
  </si>
  <si>
    <t>per position</t>
  </si>
  <si>
    <t>Check FTE*year by PhD, PD and PDEng for Material costs</t>
  </si>
  <si>
    <t>Maximum allowed requested amount /FTE /year PostDoc/PhD/PDEng</t>
  </si>
  <si>
    <t>Max amount KU</t>
  </si>
  <si>
    <t>Total amount of KU too high - %</t>
  </si>
  <si>
    <t>Total amount of KU too high - €</t>
  </si>
  <si>
    <t>VSNU - Industrial/Societal Doctorate</t>
  </si>
  <si>
    <t>Nr of persons cannot be determined based on FTE</t>
  </si>
  <si>
    <t>pers other inst - too many hours for 1 year (exc 1 FTE)</t>
  </si>
  <si>
    <t>exceeding 1 FTE</t>
  </si>
  <si>
    <t>Required resources per organisation type (excl. investments by inst.)</t>
  </si>
  <si>
    <t>Name organisation not specified.</t>
  </si>
  <si>
    <t>No costs provided</t>
  </si>
  <si>
    <t>Specify costs for this position.</t>
  </si>
  <si>
    <t>No costs given</t>
  </si>
  <si>
    <t>No organisation name given</t>
  </si>
  <si>
    <t>Investments small - amount too high</t>
  </si>
  <si>
    <t>Investments large - amount too high</t>
  </si>
  <si>
    <t>Nr months not given</t>
  </si>
  <si>
    <t>Nr of months not provided.</t>
  </si>
  <si>
    <t>Pers other inst - months not given</t>
  </si>
  <si>
    <t>Nr of months not given</t>
  </si>
  <si>
    <t>No File number provided</t>
  </si>
  <si>
    <t>Project title not provided</t>
  </si>
  <si>
    <t>Project title is not provided.</t>
  </si>
  <si>
    <t>File number is not provided.</t>
  </si>
  <si>
    <t>Start date not provided</t>
  </si>
  <si>
    <t>End date not provided</t>
  </si>
  <si>
    <t>Combined notes start/end date</t>
  </si>
  <si>
    <t>start date missing</t>
  </si>
  <si>
    <t>end date missing</t>
  </si>
  <si>
    <t>start date before end date</t>
  </si>
  <si>
    <t>start date before now</t>
  </si>
  <si>
    <t>Start date not provided.</t>
  </si>
  <si>
    <t>End date not provided.</t>
  </si>
  <si>
    <t>Empty lines</t>
  </si>
  <si>
    <t>Empty row</t>
  </si>
  <si>
    <t>Allow empty lines in between budget posts</t>
  </si>
  <si>
    <t>if no: warning appears in Budget sheet with empty lines</t>
  </si>
  <si>
    <t>Empty line</t>
  </si>
  <si>
    <t>Hourly rate junior researcher</t>
  </si>
  <si>
    <t>Hourly rate senior researcher</t>
  </si>
  <si>
    <t>Combined notes in-kind cofunding</t>
  </si>
  <si>
    <t>No type co-funding</t>
  </si>
  <si>
    <t>No rate type</t>
  </si>
  <si>
    <t>No organisation type</t>
  </si>
  <si>
    <t>No organisation name</t>
  </si>
  <si>
    <t>In-kind - type of co-funding not specified</t>
  </si>
  <si>
    <t>Default hourly rates apply for in-kind?</t>
  </si>
  <si>
    <t>In-kind junior researcher rate too high</t>
  </si>
  <si>
    <t>In-kind senior researcher rate too high</t>
  </si>
  <si>
    <t>In-kind - type of rate not specified</t>
  </si>
  <si>
    <t>Exceeding rate</t>
  </si>
  <si>
    <t>Type rate given</t>
  </si>
  <si>
    <t>In-kind - Rate type not applicable</t>
  </si>
  <si>
    <t>Type rate specified, but not applicable for materials.</t>
  </si>
  <si>
    <t>yes: column to specify organisation type</t>
  </si>
  <si>
    <t>yes: column to provide organisation name</t>
  </si>
  <si>
    <t>Total Money follows Cooperation:</t>
  </si>
  <si>
    <t>Total Internationalisation</t>
  </si>
  <si>
    <t>Total Money follow Cooperation</t>
  </si>
  <si>
    <t>Total Knowledge Utilisation</t>
  </si>
  <si>
    <t>Provide 1 position per row.</t>
  </si>
  <si>
    <t>PhD - appointment too short</t>
  </si>
  <si>
    <t>PhD - appointment too long</t>
  </si>
  <si>
    <t>Max (equiv) duration PhD [months]</t>
  </si>
  <si>
    <t>PhD duration too small</t>
  </si>
  <si>
    <t>PhD too long</t>
  </si>
  <si>
    <t>Benchfee only for PhD, PD, PDENg + Industrial/Societal Doctorates</t>
  </si>
  <si>
    <t>NFU - Industrial/Societal Doctorate</t>
  </si>
  <si>
    <t>Threshold amount investments for investment nature</t>
  </si>
  <si>
    <r>
      <t xml:space="preserve">Max NWO funding - </t>
    </r>
    <r>
      <rPr>
        <b/>
        <sz val="11"/>
        <color theme="1"/>
        <rFont val="Calibri"/>
        <family val="2"/>
        <scheme val="minor"/>
      </rPr>
      <t>without</t>
    </r>
    <r>
      <rPr>
        <sz val="11"/>
        <color theme="1"/>
        <rFont val="Calibri"/>
        <family val="2"/>
        <scheme val="minor"/>
      </rPr>
      <t xml:space="preserve"> investment nature</t>
    </r>
  </si>
  <si>
    <r>
      <t xml:space="preserve">Max NWO funding - </t>
    </r>
    <r>
      <rPr>
        <b/>
        <sz val="11"/>
        <color theme="1"/>
        <rFont val="Calibri"/>
        <family val="2"/>
        <scheme val="minor"/>
      </rPr>
      <t>with</t>
    </r>
    <r>
      <rPr>
        <sz val="11"/>
        <color theme="1"/>
        <rFont val="Calibri"/>
        <family val="2"/>
        <scheme val="minor"/>
      </rPr>
      <t xml:space="preserve"> investment nature</t>
    </r>
  </si>
  <si>
    <t>Finance Summary</t>
  </si>
  <si>
    <t>Association Private</t>
  </si>
  <si>
    <t>Association Public</t>
  </si>
  <si>
    <t>Foundation Private</t>
  </si>
  <si>
    <t>Foundation Public</t>
  </si>
  <si>
    <t>Healthcare organisation Private</t>
  </si>
  <si>
    <t>Healthcare organisation Public</t>
  </si>
  <si>
    <t>Other private</t>
  </si>
  <si>
    <t>Other public</t>
  </si>
  <si>
    <t>Other Public</t>
  </si>
  <si>
    <t>Other Private</t>
  </si>
  <si>
    <t>Notes on budget format:
  - Only the blue-marked fields should be filled in;
  - Under ‘Organisation type’, please select the type of the beneficiary 
     organisation (in case of main or co-applicants) or type of 
     co-funding organisation (in case of a co-funder); 
   - In case you do not have to pay VAT because of own appointments,
     VAT cannot be included in the budget;
  - You may wish to consult the instruction manual on this budget form, 
     which can be found on the website of this call.</t>
  </si>
  <si>
    <t>File number (filled in by NWO):</t>
  </si>
  <si>
    <t>knowledge institute</t>
  </si>
  <si>
    <t>Other knowledge organisation</t>
  </si>
  <si>
    <t>Public organisation - government</t>
  </si>
  <si>
    <t>Public organisation - non governmental</t>
  </si>
  <si>
    <t>Private organisation</t>
  </si>
  <si>
    <t>Self employed</t>
  </si>
  <si>
    <t>Max  € 125,-</t>
  </si>
  <si>
    <t>Other costs</t>
  </si>
  <si>
    <t>KIN Pact netwerksubsidie 2026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</si>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</sst>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"/>
    <numFmt numFmtId="165" formatCode="&quot;€&quot;\ #,##0"/>
    <numFmt numFmtId="166" formatCode="0.0%"/>
    <numFmt numFmtId="167" formatCode="[$-413]d/mmm/yyyy;@"/>
    <numFmt numFmtId="168" formatCode="\ "/>
    <numFmt numFmtId="169" formatCode="0;\-0;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13568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CBDED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indexed="6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11" borderId="0" applyNumberFormat="0" applyBorder="0" applyAlignment="0" applyProtection="0"/>
  </cellStyleXfs>
  <cellXfs count="29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top"/>
    </xf>
    <xf numFmtId="14" fontId="5" fillId="3" borderId="2" xfId="0" applyNumberFormat="1" applyFont="1" applyFill="1" applyBorder="1" applyAlignment="1" applyProtection="1">
      <alignment vertical="center"/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2" borderId="2" xfId="0" applyFont="1" applyFill="1" applyBorder="1" applyAlignment="1">
      <alignment vertical="center"/>
    </xf>
    <xf numFmtId="165" fontId="4" fillId="0" borderId="2" xfId="0" applyNumberFormat="1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vertical="top"/>
    </xf>
    <xf numFmtId="0" fontId="6" fillId="0" borderId="0" xfId="0" applyFont="1" applyAlignment="1" applyProtection="1">
      <alignment vertical="center"/>
      <protection hidden="1"/>
    </xf>
    <xf numFmtId="0" fontId="4" fillId="0" borderId="12" xfId="0" applyFont="1" applyBorder="1" applyAlignment="1">
      <alignment vertical="center"/>
    </xf>
    <xf numFmtId="165" fontId="4" fillId="5" borderId="16" xfId="0" applyNumberFormat="1" applyFont="1" applyFill="1" applyBorder="1" applyAlignment="1" applyProtection="1">
      <alignment horizontal="center" vertical="center"/>
      <protection locked="0"/>
    </xf>
    <xf numFmtId="165" fontId="4" fillId="5" borderId="19" xfId="0" applyNumberFormat="1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vertical="top"/>
      <protection hidden="1"/>
    </xf>
    <xf numFmtId="0" fontId="4" fillId="0" borderId="11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" fillId="6" borderId="10" xfId="0" applyFont="1" applyFill="1" applyBorder="1" applyAlignment="1">
      <alignment horizontal="center" vertical="center"/>
    </xf>
    <xf numFmtId="165" fontId="4" fillId="0" borderId="32" xfId="0" applyNumberFormat="1" applyFont="1" applyBorder="1" applyAlignment="1" applyProtection="1">
      <alignment vertical="center"/>
      <protection hidden="1"/>
    </xf>
    <xf numFmtId="165" fontId="4" fillId="0" borderId="31" xfId="0" applyNumberFormat="1" applyFont="1" applyBorder="1" applyAlignment="1" applyProtection="1">
      <alignment vertical="center"/>
      <protection hidden="1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165" fontId="13" fillId="5" borderId="19" xfId="0" applyNumberFormat="1" applyFont="1" applyFill="1" applyBorder="1" applyAlignment="1" applyProtection="1">
      <alignment horizontal="center" vertical="center"/>
      <protection locked="0"/>
    </xf>
    <xf numFmtId="0" fontId="4" fillId="5" borderId="2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165" fontId="0" fillId="0" borderId="0" xfId="0" applyNumberFormat="1" applyAlignment="1" applyProtection="1">
      <alignment horizontal="left" vertical="center"/>
      <protection hidden="1"/>
    </xf>
    <xf numFmtId="0" fontId="4" fillId="5" borderId="20" xfId="0" applyFont="1" applyFill="1" applyBorder="1" applyAlignment="1" applyProtection="1">
      <alignment horizontal="left" vertical="center"/>
      <protection locked="0"/>
    </xf>
    <xf numFmtId="0" fontId="4" fillId="5" borderId="22" xfId="0" applyFont="1" applyFill="1" applyBorder="1" applyAlignment="1" applyProtection="1">
      <alignment vertical="center"/>
      <protection locked="0"/>
    </xf>
    <xf numFmtId="0" fontId="4" fillId="5" borderId="18" xfId="0" applyFont="1" applyFill="1" applyBorder="1" applyAlignment="1" applyProtection="1">
      <alignment vertical="center"/>
      <protection locked="0"/>
    </xf>
    <xf numFmtId="0" fontId="4" fillId="5" borderId="26" xfId="0" applyFont="1" applyFill="1" applyBorder="1" applyAlignment="1" applyProtection="1">
      <alignment vertical="center"/>
      <protection locked="0"/>
    </xf>
    <xf numFmtId="0" fontId="4" fillId="5" borderId="17" xfId="0" applyFont="1" applyFill="1" applyBorder="1" applyAlignment="1" applyProtection="1">
      <alignment vertical="center"/>
      <protection locked="0"/>
    </xf>
    <xf numFmtId="0" fontId="4" fillId="5" borderId="25" xfId="0" applyFont="1" applyFill="1" applyBorder="1" applyAlignment="1" applyProtection="1">
      <alignment horizontal="left" vertical="center"/>
      <protection locked="0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4" fillId="5" borderId="34" xfId="0" applyFont="1" applyFill="1" applyBorder="1" applyAlignment="1" applyProtection="1">
      <alignment horizontal="left" vertical="center"/>
      <protection locked="0"/>
    </xf>
    <xf numFmtId="0" fontId="14" fillId="5" borderId="24" xfId="0" applyFont="1" applyFill="1" applyBorder="1" applyAlignment="1" applyProtection="1">
      <alignment horizontal="left" vertical="center"/>
      <protection locked="0"/>
    </xf>
    <xf numFmtId="0" fontId="4" fillId="5" borderId="25" xfId="0" applyFont="1" applyFill="1" applyBorder="1" applyAlignment="1">
      <alignment horizontal="left" vertical="center"/>
    </xf>
    <xf numFmtId="0" fontId="4" fillId="5" borderId="20" xfId="0" applyFont="1" applyFill="1" applyBorder="1" applyAlignment="1">
      <alignment horizontal="left" vertical="center"/>
    </xf>
    <xf numFmtId="0" fontId="4" fillId="5" borderId="21" xfId="0" applyFont="1" applyFill="1" applyBorder="1" applyAlignment="1">
      <alignment horizontal="left" vertical="center"/>
    </xf>
    <xf numFmtId="0" fontId="14" fillId="5" borderId="20" xfId="0" applyFont="1" applyFill="1" applyBorder="1" applyAlignment="1">
      <alignment horizontal="left" vertical="center"/>
    </xf>
    <xf numFmtId="0" fontId="14" fillId="5" borderId="34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4" fillId="0" borderId="4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6" borderId="4" xfId="0" applyFont="1" applyFill="1" applyBorder="1" applyAlignment="1" applyProtection="1">
      <alignment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1" fontId="4" fillId="0" borderId="8" xfId="0" applyNumberFormat="1" applyFont="1" applyBorder="1" applyAlignment="1">
      <alignment vertical="center"/>
    </xf>
    <xf numFmtId="0" fontId="5" fillId="0" borderId="0" xfId="0" applyFont="1" applyAlignment="1" applyProtection="1">
      <alignment horizontal="right" vertical="center"/>
      <protection hidden="1"/>
    </xf>
    <xf numFmtId="1" fontId="4" fillId="0" borderId="0" xfId="0" applyNumberFormat="1" applyFont="1" applyAlignment="1">
      <alignment vertical="center"/>
    </xf>
    <xf numFmtId="3" fontId="0" fillId="0" borderId="0" xfId="0" applyNumberFormat="1" applyAlignment="1" applyProtection="1">
      <alignment horizontal="left" vertical="center"/>
      <protection hidden="1"/>
    </xf>
    <xf numFmtId="165" fontId="4" fillId="5" borderId="32" xfId="0" applyNumberFormat="1" applyFont="1" applyFill="1" applyBorder="1" applyAlignment="1" applyProtection="1">
      <alignment vertical="center"/>
      <protection locked="0"/>
    </xf>
    <xf numFmtId="165" fontId="4" fillId="5" borderId="31" xfId="0" applyNumberFormat="1" applyFont="1" applyFill="1" applyBorder="1" applyAlignment="1" applyProtection="1">
      <alignment vertical="center"/>
      <protection locked="0"/>
    </xf>
    <xf numFmtId="165" fontId="4" fillId="5" borderId="37" xfId="0" applyNumberFormat="1" applyFont="1" applyFill="1" applyBorder="1" applyAlignment="1" applyProtection="1">
      <alignment vertical="center"/>
      <protection locked="0"/>
    </xf>
    <xf numFmtId="165" fontId="14" fillId="5" borderId="31" xfId="0" applyNumberFormat="1" applyFont="1" applyFill="1" applyBorder="1" applyAlignment="1" applyProtection="1">
      <alignment vertical="center"/>
      <protection locked="0"/>
    </xf>
    <xf numFmtId="165" fontId="13" fillId="0" borderId="31" xfId="0" applyNumberFormat="1" applyFont="1" applyBorder="1" applyAlignment="1" applyProtection="1">
      <alignment vertical="center"/>
      <protection hidden="1"/>
    </xf>
    <xf numFmtId="14" fontId="0" fillId="0" borderId="0" xfId="0" applyNumberFormat="1" applyAlignment="1" applyProtection="1">
      <alignment horizontal="left" vertical="center"/>
      <protection hidden="1"/>
    </xf>
    <xf numFmtId="1" fontId="0" fillId="0" borderId="0" xfId="0" applyNumberFormat="1" applyAlignment="1" applyProtection="1">
      <alignment horizontal="left" vertical="center"/>
      <protection hidden="1"/>
    </xf>
    <xf numFmtId="9" fontId="0" fillId="0" borderId="0" xfId="0" applyNumberFormat="1" applyAlignment="1" applyProtection="1">
      <alignment horizontal="left" vertical="center"/>
      <protection hidden="1"/>
    </xf>
    <xf numFmtId="165" fontId="0" fillId="0" borderId="15" xfId="0" applyNumberFormat="1" applyBorder="1" applyAlignment="1" applyProtection="1">
      <alignment vertical="center"/>
      <protection hidden="1"/>
    </xf>
    <xf numFmtId="165" fontId="0" fillId="0" borderId="36" xfId="0" applyNumberFormat="1" applyBorder="1" applyAlignment="1" applyProtection="1">
      <alignment vertical="center"/>
      <protection hidden="1"/>
    </xf>
    <xf numFmtId="165" fontId="0" fillId="0" borderId="41" xfId="0" applyNumberForma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4" fontId="0" fillId="0" borderId="15" xfId="0" applyNumberFormat="1" applyBorder="1" applyAlignment="1" applyProtection="1">
      <alignment vertical="center"/>
      <protection hidden="1"/>
    </xf>
    <xf numFmtId="4" fontId="0" fillId="0" borderId="36" xfId="0" applyNumberFormat="1" applyBorder="1" applyAlignment="1" applyProtection="1">
      <alignment vertical="center"/>
      <protection hidden="1"/>
    </xf>
    <xf numFmtId="4" fontId="0" fillId="0" borderId="41" xfId="0" applyNumberFormat="1" applyBorder="1" applyAlignment="1" applyProtection="1">
      <alignment vertical="center"/>
      <protection hidden="1"/>
    </xf>
    <xf numFmtId="165" fontId="5" fillId="0" borderId="2" xfId="0" applyNumberFormat="1" applyFont="1" applyBorder="1" applyAlignment="1" applyProtection="1">
      <alignment vertical="center"/>
      <protection hidden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0" fillId="0" borderId="0" xfId="0" applyAlignment="1" applyProtection="1">
      <alignment vertical="center" wrapText="1"/>
      <protection hidden="1"/>
    </xf>
    <xf numFmtId="165" fontId="0" fillId="0" borderId="0" xfId="0" applyNumberFormat="1" applyAlignment="1" applyProtection="1">
      <alignment horizontal="left" vertical="top"/>
      <protection hidden="1"/>
    </xf>
    <xf numFmtId="0" fontId="15" fillId="0" borderId="0" xfId="0" applyFont="1" applyAlignment="1" applyProtection="1">
      <alignment vertical="center" wrapText="1"/>
      <protection hidden="1"/>
    </xf>
    <xf numFmtId="0" fontId="0" fillId="0" borderId="13" xfId="0" applyBorder="1" applyAlignment="1" applyProtection="1">
      <alignment horizontal="left" vertical="center"/>
      <protection hidden="1"/>
    </xf>
    <xf numFmtId="0" fontId="0" fillId="0" borderId="39" xfId="0" applyBorder="1" applyAlignment="1" applyProtection="1">
      <alignment horizontal="left" vertical="center"/>
      <protection hidden="1"/>
    </xf>
    <xf numFmtId="0" fontId="0" fillId="0" borderId="40" xfId="0" applyBorder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vertical="center"/>
      <protection hidden="1"/>
    </xf>
    <xf numFmtId="165" fontId="2" fillId="0" borderId="0" xfId="0" applyNumberFormat="1" applyFont="1" applyAlignment="1" applyProtection="1">
      <alignment vertical="center"/>
      <protection hidden="1"/>
    </xf>
    <xf numFmtId="3" fontId="0" fillId="0" borderId="15" xfId="0" applyNumberFormat="1" applyBorder="1" applyAlignment="1" applyProtection="1">
      <alignment vertical="center"/>
      <protection hidden="1"/>
    </xf>
    <xf numFmtId="3" fontId="0" fillId="0" borderId="36" xfId="0" applyNumberFormat="1" applyBorder="1" applyAlignment="1" applyProtection="1">
      <alignment vertical="center"/>
      <protection hidden="1"/>
    </xf>
    <xf numFmtId="3" fontId="0" fillId="0" borderId="41" xfId="0" applyNumberFormat="1" applyBorder="1" applyAlignment="1" applyProtection="1">
      <alignment vertical="center"/>
      <protection hidden="1"/>
    </xf>
    <xf numFmtId="4" fontId="0" fillId="0" borderId="0" xfId="0" applyNumberFormat="1" applyAlignment="1" applyProtection="1">
      <alignment vertical="center"/>
      <protection hidden="1"/>
    </xf>
    <xf numFmtId="3" fontId="4" fillId="5" borderId="16" xfId="0" applyNumberFormat="1" applyFont="1" applyFill="1" applyBorder="1" applyAlignment="1" applyProtection="1">
      <alignment horizontal="center" vertical="center"/>
      <protection locked="0"/>
    </xf>
    <xf numFmtId="3" fontId="4" fillId="5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 wrapText="1"/>
      <protection hidden="1"/>
    </xf>
    <xf numFmtId="4" fontId="0" fillId="0" borderId="0" xfId="0" applyNumberFormat="1" applyAlignment="1" applyProtection="1">
      <alignment horizontal="left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4" fillId="5" borderId="34" xfId="0" applyFont="1" applyFill="1" applyBorder="1" applyAlignment="1">
      <alignment horizontal="left" vertical="center"/>
    </xf>
    <xf numFmtId="167" fontId="4" fillId="5" borderId="2" xfId="0" applyNumberFormat="1" applyFont="1" applyFill="1" applyBorder="1" applyAlignment="1" applyProtection="1">
      <alignment vertical="center"/>
      <protection locked="0"/>
    </xf>
    <xf numFmtId="1" fontId="4" fillId="6" borderId="3" xfId="0" applyNumberFormat="1" applyFont="1" applyFill="1" applyBorder="1" applyAlignment="1">
      <alignment vertical="center"/>
    </xf>
    <xf numFmtId="0" fontId="0" fillId="8" borderId="0" xfId="0" applyFill="1"/>
    <xf numFmtId="3" fontId="0" fillId="8" borderId="0" xfId="0" applyNumberFormat="1" applyFill="1"/>
    <xf numFmtId="3" fontId="0" fillId="8" borderId="0" xfId="0" applyNumberFormat="1" applyFill="1" applyAlignment="1">
      <alignment horizontal="right"/>
    </xf>
    <xf numFmtId="1" fontId="0" fillId="8" borderId="0" xfId="0" applyNumberFormat="1" applyFill="1" applyAlignment="1">
      <alignment horizontal="left"/>
    </xf>
    <xf numFmtId="0" fontId="4" fillId="8" borderId="0" xfId="0" applyFont="1" applyFill="1"/>
    <xf numFmtId="0" fontId="19" fillId="8" borderId="0" xfId="0" applyFont="1" applyFill="1"/>
    <xf numFmtId="165" fontId="0" fillId="8" borderId="0" xfId="0" applyNumberFormat="1" applyFill="1"/>
    <xf numFmtId="3" fontId="0" fillId="8" borderId="0" xfId="0" applyNumberFormat="1" applyFill="1" applyAlignment="1">
      <alignment horizontal="center"/>
    </xf>
    <xf numFmtId="165" fontId="19" fillId="8" borderId="0" xfId="0" applyNumberFormat="1" applyFont="1" applyFill="1"/>
    <xf numFmtId="165" fontId="19" fillId="8" borderId="0" xfId="0" applyNumberFormat="1" applyFont="1" applyFill="1" applyAlignment="1">
      <alignment horizontal="right"/>
    </xf>
    <xf numFmtId="0" fontId="4" fillId="0" borderId="0" xfId="0" applyFont="1" applyAlignment="1" applyProtection="1">
      <alignment horizontal="left" vertical="center"/>
      <protection hidden="1"/>
    </xf>
    <xf numFmtId="14" fontId="4" fillId="0" borderId="8" xfId="0" applyNumberFormat="1" applyFont="1" applyBorder="1" applyAlignment="1" applyProtection="1">
      <alignment vertical="center"/>
      <protection hidden="1"/>
    </xf>
    <xf numFmtId="0" fontId="12" fillId="7" borderId="30" xfId="0" applyFont="1" applyFill="1" applyBorder="1" applyAlignment="1" applyProtection="1">
      <alignment vertical="center"/>
      <protection hidden="1"/>
    </xf>
    <xf numFmtId="0" fontId="12" fillId="7" borderId="0" xfId="0" applyFont="1" applyFill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3" fillId="0" borderId="0" xfId="2" applyAlignment="1" applyProtection="1">
      <alignment vertical="top"/>
      <protection hidden="1"/>
    </xf>
    <xf numFmtId="0" fontId="3" fillId="0" borderId="0" xfId="2" applyProtection="1">
      <protection hidden="1"/>
    </xf>
    <xf numFmtId="0" fontId="2" fillId="0" borderId="0" xfId="0" applyFont="1" applyProtection="1">
      <protection hidden="1"/>
    </xf>
    <xf numFmtId="166" fontId="2" fillId="0" borderId="0" xfId="0" applyNumberFormat="1" applyFont="1" applyProtection="1">
      <protection hidden="1"/>
    </xf>
    <xf numFmtId="0" fontId="18" fillId="0" borderId="0" xfId="0" applyFont="1" applyProtection="1">
      <protection hidden="1"/>
    </xf>
    <xf numFmtId="166" fontId="0" fillId="0" borderId="0" xfId="0" applyNumberFormat="1" applyProtection="1">
      <protection hidden="1"/>
    </xf>
    <xf numFmtId="0" fontId="17" fillId="0" borderId="0" xfId="0" applyFont="1" applyAlignment="1" applyProtection="1">
      <alignment vertical="center"/>
      <protection hidden="1"/>
    </xf>
    <xf numFmtId="165" fontId="17" fillId="0" borderId="0" xfId="0" applyNumberFormat="1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0" fillId="0" borderId="32" xfId="0" applyBorder="1" applyAlignment="1" applyProtection="1">
      <alignment horizontal="left" vertical="center"/>
      <protection hidden="1"/>
    </xf>
    <xf numFmtId="0" fontId="0" fillId="0" borderId="31" xfId="0" applyBorder="1" applyAlignment="1" applyProtection="1">
      <alignment horizontal="left" vertical="center"/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165" fontId="0" fillId="0" borderId="13" xfId="0" applyNumberFormat="1" applyBorder="1" applyProtection="1">
      <protection hidden="1"/>
    </xf>
    <xf numFmtId="165" fontId="0" fillId="0" borderId="15" xfId="0" applyNumberFormat="1" applyBorder="1" applyProtection="1">
      <protection hidden="1"/>
    </xf>
    <xf numFmtId="0" fontId="0" fillId="0" borderId="39" xfId="0" applyBorder="1" applyProtection="1">
      <protection hidden="1"/>
    </xf>
    <xf numFmtId="0" fontId="0" fillId="0" borderId="36" xfId="0" applyBorder="1" applyProtection="1">
      <protection hidden="1"/>
    </xf>
    <xf numFmtId="165" fontId="0" fillId="0" borderId="39" xfId="0" applyNumberFormat="1" applyBorder="1" applyProtection="1">
      <protection hidden="1"/>
    </xf>
    <xf numFmtId="165" fontId="0" fillId="0" borderId="36" xfId="0" applyNumberFormat="1" applyBorder="1" applyProtection="1">
      <protection hidden="1"/>
    </xf>
    <xf numFmtId="0" fontId="0" fillId="0" borderId="1" xfId="0" applyBorder="1" applyProtection="1">
      <protection hidden="1"/>
    </xf>
    <xf numFmtId="165" fontId="0" fillId="0" borderId="40" xfId="0" applyNumberFormat="1" applyBorder="1" applyProtection="1">
      <protection hidden="1"/>
    </xf>
    <xf numFmtId="165" fontId="0" fillId="0" borderId="41" xfId="0" applyNumberFormat="1" applyBorder="1" applyProtection="1">
      <protection hidden="1"/>
    </xf>
    <xf numFmtId="3" fontId="2" fillId="0" borderId="0" xfId="0" applyNumberFormat="1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165" fontId="2" fillId="0" borderId="0" xfId="0" applyNumberFormat="1" applyFont="1" applyProtection="1">
      <protection hidden="1"/>
    </xf>
    <xf numFmtId="0" fontId="0" fillId="0" borderId="0" xfId="0" applyAlignment="1" applyProtection="1">
      <alignment vertical="top" wrapText="1"/>
      <protection hidden="1"/>
    </xf>
    <xf numFmtId="0" fontId="15" fillId="0" borderId="0" xfId="0" applyFont="1" applyAlignment="1" applyProtection="1">
      <alignment vertical="top" wrapText="1"/>
      <protection hidden="1"/>
    </xf>
    <xf numFmtId="165" fontId="4" fillId="0" borderId="2" xfId="0" applyNumberFormat="1" applyFont="1" applyBorder="1" applyAlignment="1" applyProtection="1">
      <alignment horizontal="right" vertical="center"/>
      <protection hidden="1"/>
    </xf>
    <xf numFmtId="0" fontId="15" fillId="8" borderId="0" xfId="0" applyFont="1" applyFill="1"/>
    <xf numFmtId="0" fontId="5" fillId="3" borderId="2" xfId="0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right"/>
    </xf>
    <xf numFmtId="0" fontId="0" fillId="8" borderId="0" xfId="0" applyFill="1" applyAlignment="1">
      <alignment wrapText="1"/>
    </xf>
    <xf numFmtId="0" fontId="5" fillId="8" borderId="42" xfId="0" applyFont="1" applyFill="1" applyBorder="1"/>
    <xf numFmtId="165" fontId="5" fillId="8" borderId="42" xfId="0" applyNumberFormat="1" applyFont="1" applyFill="1" applyBorder="1" applyAlignment="1">
      <alignment horizontal="left" vertical="top"/>
    </xf>
    <xf numFmtId="0" fontId="6" fillId="8" borderId="38" xfId="0" quotePrefix="1" applyFont="1" applyFill="1" applyBorder="1" applyAlignment="1">
      <alignment horizontal="right"/>
    </xf>
    <xf numFmtId="165" fontId="6" fillId="8" borderId="38" xfId="0" applyNumberFormat="1" applyFont="1" applyFill="1" applyBorder="1"/>
    <xf numFmtId="0" fontId="5" fillId="8" borderId="31" xfId="0" applyFont="1" applyFill="1" applyBorder="1"/>
    <xf numFmtId="165" fontId="5" fillId="8" borderId="31" xfId="0" applyNumberFormat="1" applyFont="1" applyFill="1" applyBorder="1" applyAlignment="1">
      <alignment horizontal="left"/>
    </xf>
    <xf numFmtId="0" fontId="9" fillId="3" borderId="2" xfId="0" applyFont="1" applyFill="1" applyBorder="1"/>
    <xf numFmtId="165" fontId="9" fillId="3" borderId="2" xfId="0" applyNumberFormat="1" applyFont="1" applyFill="1" applyBorder="1" applyAlignment="1">
      <alignment horizontal="left"/>
    </xf>
    <xf numFmtId="0" fontId="5" fillId="4" borderId="2" xfId="0" applyFont="1" applyFill="1" applyBorder="1"/>
    <xf numFmtId="165" fontId="5" fillId="4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165" fontId="4" fillId="8" borderId="0" xfId="0" applyNumberFormat="1" applyFont="1" applyFill="1"/>
    <xf numFmtId="0" fontId="4" fillId="0" borderId="38" xfId="0" applyFont="1" applyBorder="1"/>
    <xf numFmtId="165" fontId="4" fillId="0" borderId="38" xfId="0" applyNumberFormat="1" applyFont="1" applyBorder="1" applyAlignment="1">
      <alignment horizontal="left" vertical="center"/>
    </xf>
    <xf numFmtId="0" fontId="4" fillId="8" borderId="38" xfId="0" applyFont="1" applyFill="1" applyBorder="1"/>
    <xf numFmtId="165" fontId="4" fillId="8" borderId="38" xfId="0" applyNumberFormat="1" applyFont="1" applyFill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6" fillId="8" borderId="43" xfId="0" quotePrefix="1" applyFont="1" applyFill="1" applyBorder="1" applyAlignment="1">
      <alignment horizontal="right"/>
    </xf>
    <xf numFmtId="165" fontId="6" fillId="8" borderId="43" xfId="0" applyNumberFormat="1" applyFont="1" applyFill="1" applyBorder="1" applyAlignment="1">
      <alignment horizontal="right"/>
    </xf>
    <xf numFmtId="165" fontId="6" fillId="0" borderId="43" xfId="0" applyNumberFormat="1" applyFont="1" applyBorder="1" applyAlignment="1">
      <alignment horizontal="right"/>
    </xf>
    <xf numFmtId="0" fontId="4" fillId="8" borderId="43" xfId="0" applyFont="1" applyFill="1" applyBorder="1" applyAlignment="1">
      <alignment horizontal="left"/>
    </xf>
    <xf numFmtId="165" fontId="4" fillId="8" borderId="43" xfId="0" applyNumberFormat="1" applyFont="1" applyFill="1" applyBorder="1" applyAlignment="1">
      <alignment horizontal="right"/>
    </xf>
    <xf numFmtId="165" fontId="4" fillId="0" borderId="43" xfId="0" applyNumberFormat="1" applyFont="1" applyBorder="1" applyAlignment="1">
      <alignment horizontal="right"/>
    </xf>
    <xf numFmtId="0" fontId="5" fillId="3" borderId="2" xfId="0" applyFont="1" applyFill="1" applyBorder="1"/>
    <xf numFmtId="165" fontId="5" fillId="8" borderId="2" xfId="0" applyNumberFormat="1" applyFont="1" applyFill="1" applyBorder="1"/>
    <xf numFmtId="0" fontId="4" fillId="0" borderId="0" xfId="0" applyFont="1"/>
    <xf numFmtId="165" fontId="15" fillId="8" borderId="0" xfId="0" applyNumberFormat="1" applyFont="1" applyFill="1"/>
    <xf numFmtId="165" fontId="4" fillId="0" borderId="0" xfId="0" applyNumberFormat="1" applyFont="1"/>
    <xf numFmtId="0" fontId="21" fillId="7" borderId="0" xfId="0" applyFont="1" applyFill="1"/>
    <xf numFmtId="0" fontId="15" fillId="0" borderId="0" xfId="0" applyFont="1"/>
    <xf numFmtId="0" fontId="5" fillId="9" borderId="9" xfId="0" applyFont="1" applyFill="1" applyBorder="1" applyAlignment="1">
      <alignment wrapText="1"/>
    </xf>
    <xf numFmtId="3" fontId="5" fillId="9" borderId="9" xfId="0" applyNumberFormat="1" applyFont="1" applyFill="1" applyBorder="1" applyAlignment="1">
      <alignment horizontal="left" vertical="top" wrapText="1"/>
    </xf>
    <xf numFmtId="0" fontId="12" fillId="7" borderId="44" xfId="0" applyFont="1" applyFill="1" applyBorder="1"/>
    <xf numFmtId="0" fontId="12" fillId="7" borderId="45" xfId="0" applyFont="1" applyFill="1" applyBorder="1"/>
    <xf numFmtId="0" fontId="0" fillId="0" borderId="0" xfId="0" applyAlignment="1" applyProtection="1">
      <alignment horizontal="left" vertical="center"/>
      <protection hidden="1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7" fillId="0" borderId="0" xfId="0" applyFont="1" applyProtection="1">
      <protection hidden="1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14" fontId="4" fillId="0" borderId="0" xfId="0" applyNumberFormat="1" applyFont="1" applyAlignment="1" applyProtection="1">
      <alignment vertical="center"/>
      <protection hidden="1"/>
    </xf>
    <xf numFmtId="0" fontId="6" fillId="0" borderId="4" xfId="0" applyFont="1" applyBorder="1" applyAlignment="1" applyProtection="1">
      <alignment vertical="center"/>
      <protection hidden="1"/>
    </xf>
    <xf numFmtId="0" fontId="4" fillId="5" borderId="16" xfId="0" applyFont="1" applyFill="1" applyBorder="1" applyAlignment="1" applyProtection="1">
      <alignment horizontal="left" vertical="center"/>
      <protection locked="0"/>
    </xf>
    <xf numFmtId="0" fontId="4" fillId="5" borderId="19" xfId="0" applyFont="1" applyFill="1" applyBorder="1" applyAlignment="1" applyProtection="1">
      <alignment horizontal="left" vertical="center"/>
      <protection locked="0"/>
    </xf>
    <xf numFmtId="0" fontId="13" fillId="5" borderId="20" xfId="0" applyFont="1" applyFill="1" applyBorder="1" applyAlignment="1" applyProtection="1">
      <alignment horizontal="left" vertical="center"/>
      <protection locked="0"/>
    </xf>
    <xf numFmtId="0" fontId="13" fillId="5" borderId="19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left" vertical="center"/>
    </xf>
    <xf numFmtId="3" fontId="13" fillId="5" borderId="19" xfId="0" applyNumberFormat="1" applyFont="1" applyFill="1" applyBorder="1" applyAlignment="1" applyProtection="1">
      <alignment horizontal="center" vertical="center"/>
      <protection locked="0"/>
    </xf>
    <xf numFmtId="0" fontId="4" fillId="5" borderId="34" xfId="0" applyFont="1" applyFill="1" applyBorder="1" applyAlignment="1" applyProtection="1">
      <alignment horizontal="left" vertical="center"/>
      <protection locked="0"/>
    </xf>
    <xf numFmtId="0" fontId="4" fillId="5" borderId="35" xfId="0" applyFont="1" applyFill="1" applyBorder="1" applyAlignment="1">
      <alignment horizontal="left" vertical="center"/>
    </xf>
    <xf numFmtId="0" fontId="4" fillId="5" borderId="33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4" xfId="0" applyFont="1" applyBorder="1" applyAlignment="1" applyProtection="1">
      <alignment horizontal="left" vertical="center"/>
      <protection hidden="1"/>
    </xf>
    <xf numFmtId="0" fontId="4" fillId="5" borderId="46" xfId="0" applyFont="1" applyFill="1" applyBorder="1" applyAlignment="1" applyProtection="1">
      <alignment horizontal="left" vertical="center"/>
      <protection locked="0"/>
    </xf>
    <xf numFmtId="0" fontId="14" fillId="5" borderId="23" xfId="0" applyFont="1" applyFill="1" applyBorder="1" applyAlignment="1" applyProtection="1">
      <alignment horizontal="left" vertical="center"/>
      <protection locked="0"/>
    </xf>
    <xf numFmtId="0" fontId="4" fillId="6" borderId="3" xfId="0" applyFont="1" applyFill="1" applyBorder="1" applyAlignment="1" applyProtection="1">
      <alignment vertical="center"/>
      <protection hidden="1"/>
    </xf>
    <xf numFmtId="0" fontId="6" fillId="0" borderId="0" xfId="0" applyFont="1" applyAlignment="1">
      <alignment horizontal="left" vertical="top" wrapText="1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4" fillId="0" borderId="7" xfId="0" applyNumberFormat="1" applyFont="1" applyBorder="1" applyAlignment="1">
      <alignment vertical="center"/>
    </xf>
    <xf numFmtId="0" fontId="5" fillId="0" borderId="8" xfId="0" applyFont="1" applyBorder="1" applyAlignment="1" applyProtection="1">
      <alignment horizontal="right" vertical="center"/>
      <protection hidden="1"/>
    </xf>
    <xf numFmtId="169" fontId="11" fillId="0" borderId="0" xfId="0" applyNumberFormat="1" applyFont="1" applyAlignment="1" applyProtection="1">
      <alignment vertical="center"/>
      <protection hidden="1"/>
    </xf>
    <xf numFmtId="1" fontId="2" fillId="0" borderId="0" xfId="0" applyNumberFormat="1" applyFont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4" fillId="0" borderId="5" xfId="0" applyFont="1" applyBorder="1" applyAlignment="1" applyProtection="1">
      <alignment horizontal="right" vertical="center"/>
      <protection hidden="1"/>
    </xf>
    <xf numFmtId="0" fontId="4" fillId="0" borderId="10" xfId="0" applyFont="1" applyBorder="1" applyAlignment="1">
      <alignment vertical="center"/>
    </xf>
    <xf numFmtId="168" fontId="22" fillId="8" borderId="0" xfId="0" applyNumberFormat="1" applyFont="1" applyFill="1"/>
    <xf numFmtId="0" fontId="11" fillId="0" borderId="0" xfId="0" applyFont="1" applyAlignment="1">
      <alignment vertical="center"/>
    </xf>
    <xf numFmtId="3" fontId="0" fillId="0" borderId="0" xfId="0" applyNumberFormat="1" applyAlignment="1" applyProtection="1">
      <alignment horizontal="left" vertical="top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3" borderId="3" xfId="0" applyFont="1" applyFill="1" applyBorder="1" applyAlignment="1" applyProtection="1">
      <alignment vertical="center"/>
      <protection hidden="1"/>
    </xf>
    <xf numFmtId="0" fontId="4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horizontal="right" vertical="center"/>
      <protection hidden="1"/>
    </xf>
    <xf numFmtId="0" fontId="16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0" borderId="10" xfId="0" applyFont="1" applyBorder="1" applyAlignment="1" applyProtection="1">
      <alignment vertical="center"/>
      <protection hidden="1"/>
    </xf>
    <xf numFmtId="0" fontId="7" fillId="0" borderId="10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4" fillId="0" borderId="28" xfId="0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28" xfId="0" applyFont="1" applyBorder="1" applyAlignment="1" applyProtection="1">
      <alignment vertical="center"/>
      <protection hidden="1"/>
    </xf>
    <xf numFmtId="165" fontId="23" fillId="0" borderId="27" xfId="0" applyNumberFormat="1" applyFont="1" applyBorder="1" applyAlignment="1" applyProtection="1">
      <alignment vertical="center"/>
      <protection hidden="1"/>
    </xf>
    <xf numFmtId="165" fontId="4" fillId="0" borderId="27" xfId="0" applyNumberFormat="1" applyFont="1" applyBorder="1" applyAlignment="1" applyProtection="1">
      <alignment vertical="center"/>
      <protection hidden="1"/>
    </xf>
    <xf numFmtId="165" fontId="4" fillId="0" borderId="29" xfId="0" applyNumberFormat="1" applyFont="1" applyBorder="1" applyAlignment="1" applyProtection="1">
      <alignment vertical="center"/>
      <protection hidden="1"/>
    </xf>
    <xf numFmtId="165" fontId="4" fillId="0" borderId="0" xfId="0" applyNumberFormat="1" applyFont="1" applyAlignment="1" applyProtection="1">
      <alignment vertical="center"/>
      <protection hidden="1"/>
    </xf>
    <xf numFmtId="165" fontId="4" fillId="0" borderId="36" xfId="0" applyNumberFormat="1" applyFont="1" applyBorder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165" fontId="23" fillId="0" borderId="0" xfId="0" applyNumberFormat="1" applyFont="1" applyAlignment="1" applyProtection="1">
      <alignment vertical="center"/>
      <protection hidden="1"/>
    </xf>
    <xf numFmtId="165" fontId="23" fillId="0" borderId="45" xfId="0" applyNumberFormat="1" applyFont="1" applyBorder="1"/>
    <xf numFmtId="165" fontId="4" fillId="0" borderId="45" xfId="0" applyNumberFormat="1" applyFont="1" applyBorder="1"/>
    <xf numFmtId="165" fontId="23" fillId="0" borderId="45" xfId="0" applyNumberFormat="1" applyFont="1" applyBorder="1" applyAlignment="1">
      <alignment vertical="center"/>
    </xf>
    <xf numFmtId="165" fontId="4" fillId="0" borderId="45" xfId="0" applyNumberFormat="1" applyFont="1" applyBorder="1" applyProtection="1">
      <protection hidden="1"/>
    </xf>
    <xf numFmtId="0" fontId="4" fillId="0" borderId="39" xfId="0" applyFont="1" applyBorder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12" fillId="7" borderId="0" xfId="0" applyFont="1" applyFill="1"/>
    <xf numFmtId="1" fontId="4" fillId="5" borderId="16" xfId="0" applyNumberFormat="1" applyFont="1" applyFill="1" applyBorder="1" applyAlignment="1" applyProtection="1">
      <alignment horizontal="left" vertical="center"/>
      <protection locked="0"/>
    </xf>
    <xf numFmtId="1" fontId="4" fillId="5" borderId="19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/>
    <xf numFmtId="0" fontId="2" fillId="0" borderId="0" xfId="0" applyFont="1" applyAlignment="1" applyProtection="1">
      <alignment vertical="top" wrapText="1"/>
      <protection hidden="1"/>
    </xf>
    <xf numFmtId="167" fontId="4" fillId="5" borderId="2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/>
      <protection hidden="1"/>
    </xf>
    <xf numFmtId="166" fontId="0" fillId="0" borderId="0" xfId="1" applyNumberFormat="1" applyFont="1" applyFill="1"/>
    <xf numFmtId="0" fontId="1" fillId="0" borderId="0" xfId="3" applyFill="1"/>
    <xf numFmtId="166" fontId="1" fillId="0" borderId="0" xfId="3" applyNumberFormat="1" applyFill="1"/>
    <xf numFmtId="22" fontId="0" fillId="0" borderId="0" xfId="0" applyNumberFormat="1" applyAlignment="1" applyProtection="1">
      <alignment horizontal="left" vertical="center"/>
      <protection hidden="1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3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1" fontId="4" fillId="0" borderId="3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0" fontId="6" fillId="4" borderId="0" xfId="0" applyFont="1" applyFill="1" applyAlignment="1">
      <alignment horizontal="left" vertical="top" wrapText="1"/>
    </xf>
    <xf numFmtId="0" fontId="8" fillId="0" borderId="10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locked="0"/>
    </xf>
    <xf numFmtId="0" fontId="4" fillId="5" borderId="5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top" wrapText="1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0" fontId="4" fillId="5" borderId="5" xfId="0" applyFont="1" applyFill="1" applyBorder="1" applyAlignment="1" applyProtection="1">
      <alignment horizontal="left" vertical="top" wrapText="1"/>
      <protection locked="0"/>
    </xf>
    <xf numFmtId="0" fontId="4" fillId="10" borderId="3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left" vertical="center"/>
    </xf>
    <xf numFmtId="0" fontId="4" fillId="10" borderId="5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</cellXfs>
  <cellStyles count="4">
    <cellStyle name="20% - Accent5" xfId="3" builtinId="46"/>
    <cellStyle name="Hyperlink" xfId="2" builtinId="8"/>
    <cellStyle name="Procent" xfId="1" builtinId="5"/>
    <cellStyle name="Standaard" xfId="0" builtinId="0"/>
  </cellStyles>
  <dxfs count="3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&quot;€&quot;\ #,##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/>
        <i val="0"/>
        <color rgb="FFFF0000"/>
      </font>
      <fill>
        <patternFill patternType="solid">
          <bgColor theme="7" tint="0.79998168889431442"/>
        </patternFill>
      </fill>
    </dxf>
    <dxf>
      <font>
        <color rgb="FFFF0000"/>
      </font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bottom" textRotation="0" wrapText="0" indent="0" justifyLastLine="0" shrinkToFit="0" readingOrder="0"/>
      <protection locked="1" hidden="1"/>
    </dxf>
    <dxf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protection locked="1" hidden="1"/>
    </dxf>
    <dxf>
      <protection locked="1" hidden="1"/>
    </dxf>
    <dxf>
      <protection locked="1" hidden="1"/>
    </dxf>
    <dxf>
      <protection locked="1" hidden="1"/>
    </dxf>
    <dxf>
      <alignment horizontal="general" vertical="top" textRotation="0" wrapText="1" indent="0" justifyLastLine="0" shrinkToFit="0" readingOrder="0"/>
      <protection locked="1" hidden="1"/>
    </dxf>
    <dxf>
      <alignment horizontal="general" vertical="top" textRotation="0" wrapText="1" indent="0" justifyLastLine="0" shrinkToFit="0" readingOrder="0"/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alignment horizontal="left" vertical="bottom" textRotation="0" wrapText="0" indent="0" justifyLastLine="0" shrinkToFit="0" readingOrder="0"/>
      <protection locked="1" hidden="1"/>
    </dxf>
    <dxf>
      <alignment horizontal="left" vertical="bottom" textRotation="0" wrapText="0" indent="0" justifyLastLine="0" shrinkToFit="0" readingOrder="0"/>
      <protection locked="1" hidden="1"/>
    </dxf>
    <dxf>
      <numFmt numFmtId="0" formatCode="General"/>
    </dxf>
    <dxf>
      <numFmt numFmtId="0" formatCode="General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border>
        <top style="thin">
          <color theme="4" tint="0.39997558519241921"/>
        </top>
      </border>
    </dxf>
    <dxf>
      <protection locked="1" hidden="1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</dxf>
    <dxf>
      <numFmt numFmtId="0" formatCode="General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border>
        <top style="thin">
          <color theme="4" tint="0.39997558519241921"/>
        </top>
      </border>
    </dxf>
    <dxf>
      <protection locked="1" hidden="1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numFmt numFmtId="0" formatCode="General"/>
      <protection locked="1" hidden="1"/>
    </dxf>
    <dxf>
      <protection locked="1" hidden="1"/>
    </dxf>
    <dxf>
      <protection locked="1" hidden="1"/>
    </dxf>
    <dxf>
      <protection locked="1" hidden="1"/>
    </dxf>
    <dxf>
      <numFmt numFmtId="0" formatCode="General"/>
      <alignment horizontal="general" vertical="top" textRotation="0" wrapText="1" indent="0" justifyLastLine="0" shrinkToFit="0" readingOrder="0"/>
      <protection locked="1" hidden="1"/>
    </dxf>
    <dxf>
      <alignment horizontal="general" vertical="top" textRotation="0" wrapText="1" indent="0" justifyLastLine="0" shrinkToFit="0" readingOrder="0"/>
      <protection locked="1" hidden="1"/>
    </dxf>
    <dxf>
      <alignment horizontal="general" vertical="top" textRotation="0" wrapText="1" indent="0" justifyLastLine="0" shrinkToFit="0" readingOrder="0"/>
      <protection locked="1" hidden="1"/>
    </dxf>
    <dxf>
      <alignment horizontal="general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solid">
          <fgColor indexed="64"/>
          <bgColor rgb="FFCBDEDF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solid">
          <fgColor indexed="64"/>
          <bgColor rgb="FFCBDEDF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/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0" hidden="0"/>
    </dxf>
    <dxf>
      <border>
        <top style="thin">
          <color indexed="64"/>
        </top>
      </border>
    </dxf>
    <dxf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/>
        <vertical/>
        <horizontal/>
      </border>
      <protection locked="0" hidden="0"/>
    </dxf>
    <dxf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solid">
          <fgColor indexed="64"/>
          <bgColor rgb="FFCBDED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thin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BDED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hair">
          <color indexed="64"/>
        </top>
        <bottom style="thin">
          <color indexed="64"/>
        </bottom>
        <vertical/>
        <horizontal/>
      </border>
      <protection locked="0" hidden="0"/>
    </dxf>
    <dxf>
      <border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</dxf>
    <dxf>
      <border diagonalUp="0" diagonalDown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0" formatCode="General"/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13568"/>
        <name val="Calibri"/>
        <scheme val="minor"/>
      </font>
      <numFmt numFmtId="0" formatCode="General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13568"/>
        <name val="Calibri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&quot;€&quot;\ #,##0"/>
      <alignment horizontal="left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alignment horizontal="left" vertical="center" textRotation="0" wrapText="0" indent="0" justifyLastLine="0" shrinkToFit="0" readingOrder="0"/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1"/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5" formatCode="&quot;€&quot;\ 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theme="4" tint="0.39997558519241921"/>
        </top>
        <bottom/>
      </border>
      <protection locked="1" hidden="1"/>
    </dxf>
    <dxf>
      <border outline="0">
        <top style="thin">
          <color theme="4" tint="0.3999755851924192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hair">
          <color auto="1"/>
        </top>
        <bottom style="hair">
          <color auto="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center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FFFF"/>
      <color rgb="FFCBDEDF"/>
      <color rgb="FFCBE8E9"/>
      <color rgb="FFEA6B14"/>
      <color rgb="FFBCE5F2"/>
      <color rgb="FF7ECDE6"/>
      <color rgb="FF18657C"/>
      <color rgb="FFB7D2D3"/>
      <color rgb="FF7EAEB1"/>
      <color rgb="FF7EB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628650</xdr:colOff>
      <xdr:row>0</xdr:row>
      <xdr:rowOff>1012582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650" cy="10179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0000000}" name="req_resources_orgtype" displayName="req_resources_orgtype" ref="A38:B57" totalsRowShown="0" headerRowDxfId="182" dataDxfId="181">
  <autoFilter ref="A38:B57" xr:uid="{00000000-0009-0000-0100-00001A000000}"/>
  <tableColumns count="2">
    <tableColumn id="1" xr3:uid="{00000000-0010-0000-0000-000001000000}" name="Organisation type" dataDxfId="180"/>
    <tableColumn id="2" xr3:uid="{00000000-0010-0000-0000-000002000000}" name="Amount" dataDxfId="179">
      <calculatedColumnFormula>SUMIF(INDIRECT("Budget!F1:F"&amp;row_cofunding),A39,INDIRECT("Budget!H1:H"&amp;row_cofunding))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1000000}" name="cofunding_per_org_type" displayName="cofunding_per_org_type" ref="I38:J56" totalsRowShown="0" headerRowDxfId="178" dataDxfId="177" tableBorderDxfId="176">
  <autoFilter ref="I38:J56" xr:uid="{00000000-0009-0000-0100-00001B000000}"/>
  <tableColumns count="2">
    <tableColumn id="1" xr3:uid="{00000000-0010-0000-0100-000001000000}" name="Organisation type" dataDxfId="175"/>
    <tableColumn id="2" xr3:uid="{00000000-0010-0000-0100-000002000000}" name="Amount" dataDxfId="174">
      <calculatedColumnFormula>IFERROR(SUMIF(INDIRECT("Budget!F"&amp;row_cofunding&amp;":F9999"),I39,INDIRECT("Budget!H"&amp;row_cofunding&amp;":H99999")),"-")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ravel_acc" displayName="travel_acc" ref="A59:H70" totalsRowCount="1" headerRowDxfId="173" totalsRowDxfId="171" tableBorderDxfId="172" totalsRowBorderDxfId="170">
  <autoFilter ref="A59:H69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200-000001000000}" name="Description" dataDxfId="169" totalsRowDxfId="168"/>
    <tableColumn id="2" xr3:uid="{00000000-0010-0000-0200-000002000000}" name=" " dataDxfId="167" totalsRowDxfId="166"/>
    <tableColumn id="3" xr3:uid="{00000000-0010-0000-0200-000003000000}" name="  " dataDxfId="165" totalsRowDxfId="164"/>
    <tableColumn id="4" xr3:uid="{00000000-0010-0000-0200-000004000000}" name="   " dataDxfId="163" totalsRowDxfId="162"/>
    <tableColumn id="7" xr3:uid="{00000000-0010-0000-0200-000007000000}" name="    " dataDxfId="161" totalsRowDxfId="160"/>
    <tableColumn id="5" xr3:uid="{00000000-0010-0000-0200-000005000000}" name="Organisation type" dataDxfId="159" totalsRowDxfId="158"/>
    <tableColumn id="8" xr3:uid="{00000000-0010-0000-0200-000008000000}" name="Name organisation" totalsRowLabel="Sub total:" dataDxfId="157" totalsRowDxfId="156"/>
    <tableColumn id="6" xr3:uid="{00000000-0010-0000-0200-000006000000}" name="Amount" totalsRowFunction="custom" dataDxfId="155" totalsRowDxfId="154">
      <totalsRowFormula>SUM(travel_acc[Amount])</totalsRow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goods_services" displayName="goods_services" ref="A41:H57" totalsRowCount="1" headerRowDxfId="153" totalsRowDxfId="151" tableBorderDxfId="152">
  <autoFilter ref="A41:H56" xr:uid="{00000000-0009-0000-0100-00000D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300-000001000000}" name="Description" dataDxfId="150" totalsRowDxfId="149"/>
    <tableColumn id="2" xr3:uid="{00000000-0010-0000-0300-000002000000}" name=" " dataDxfId="148" totalsRowDxfId="147"/>
    <tableColumn id="3" xr3:uid="{00000000-0010-0000-0300-000003000000}" name="  " dataDxfId="146" totalsRowDxfId="145"/>
    <tableColumn id="4" xr3:uid="{00000000-0010-0000-0300-000004000000}" name="   " dataDxfId="144" totalsRowDxfId="143"/>
    <tableColumn id="7" xr3:uid="{00000000-0010-0000-0300-000007000000}" name="    " dataDxfId="142" totalsRowDxfId="141"/>
    <tableColumn id="5" xr3:uid="{00000000-0010-0000-0300-000005000000}" name="Organisation type" dataDxfId="140" totalsRowDxfId="139"/>
    <tableColumn id="8" xr3:uid="{00000000-0010-0000-0300-000008000000}" name="Name organisation" totalsRowLabel="Sub total:" dataDxfId="138" totalsRowDxfId="137"/>
    <tableColumn id="6" xr3:uid="{00000000-0010-0000-0300-000006000000}" name="Amount" totalsRowFunction="custom" dataDxfId="136" totalsRowDxfId="135">
      <totalsRowFormula>SUM(goods_services[Amount])</totalsRow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4000000}" name="implementation" displayName="implementation" ref="A72:H83" totalsRowCount="1" headerRowDxfId="134" totalsRowDxfId="132" tableBorderDxfId="133" totalsRowBorderDxfId="131">
  <autoFilter ref="A72:H82" xr:uid="{00000000-0009-0000-0100-00000E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400-000001000000}" name="Description" dataDxfId="130" totalsRowDxfId="129"/>
    <tableColumn id="2" xr3:uid="{00000000-0010-0000-0400-000002000000}" name=" " dataDxfId="128" totalsRowDxfId="127"/>
    <tableColumn id="3" xr3:uid="{00000000-0010-0000-0400-000003000000}" name="  " dataDxfId="126" totalsRowDxfId="125"/>
    <tableColumn id="4" xr3:uid="{00000000-0010-0000-0400-000004000000}" name="   " dataDxfId="124" totalsRowDxfId="123"/>
    <tableColumn id="7" xr3:uid="{00000000-0010-0000-0400-000007000000}" name="    " dataDxfId="122" totalsRowDxfId="121"/>
    <tableColumn id="5" xr3:uid="{00000000-0010-0000-0400-000005000000}" name="Organisation type" dataDxfId="120" totalsRowDxfId="119"/>
    <tableColumn id="8" xr3:uid="{00000000-0010-0000-0400-000008000000}" name="Name organisation" totalsRowLabel="Sub total:" dataDxfId="118" totalsRowDxfId="117"/>
    <tableColumn id="6" xr3:uid="{00000000-0010-0000-0400-000006000000}" name="Amount" totalsRowFunction="custom" dataDxfId="116" totalsRowDxfId="115">
      <totalsRowFormula>SUM(implementation[Amount])</totalsRow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5000000}" name="pers_other_inst_2021" displayName="pers_other_inst_2021" ref="A15:H36" totalsRowCount="1" headerRowDxfId="114" totalsRowDxfId="112" tableBorderDxfId="113">
  <autoFilter ref="A15:H35" xr:uid="{00000000-0009-0000-0100-00002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500-000001000000}" name="Description" dataDxfId="111" totalsRowDxfId="7"/>
    <tableColumn id="2" xr3:uid="{00000000-0010-0000-0500-000002000000}" name="Scale" dataDxfId="110" totalsRowDxfId="6"/>
    <tableColumn id="3" xr3:uid="{00000000-0010-0000-0500-000003000000}" name="Total # hrs" dataDxfId="109" totalsRowDxfId="5"/>
    <tableColumn id="7" xr3:uid="{00000000-0010-0000-0500-000007000000}" name="Hourly rate" dataDxfId="108" totalsRowDxfId="4"/>
    <tableColumn id="4" xr3:uid="{00000000-0010-0000-0500-000004000000}" name="Months" dataDxfId="107" totalsRowDxfId="3"/>
    <tableColumn id="5" xr3:uid="{00000000-0010-0000-0500-000005000000}" name="Organisation type" dataDxfId="106" totalsRowDxfId="2"/>
    <tableColumn id="8" xr3:uid="{00000000-0010-0000-0500-000008000000}" name="Name organisation" totalsRowLabel="Sub total:" dataDxfId="105" totalsRowDxfId="1"/>
    <tableColumn id="6" xr3:uid="{00000000-0010-0000-0500-000006000000}" name="Amount" totalsRowFunction="custom" dataDxfId="104" totalsRowDxfId="0">
      <calculatedColumnFormula>IF(pers_other_inst_2021[[#This Row],[Hourly rate]]*pers_other_inst_2021[[#This Row],[Total '# hrs]]&gt;0,pers_other_inst_2021[[#This Row],[Hourly rate]]*pers_other_inst_2021[[#This Row],[Total '# hrs]],"")</calculatedColumnFormula>
      <totalsRowFormula>SUM(pers_other_inst_2021[Amount])</totalsRow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list_academic" displayName="list_academic" ref="A298:A308" totalsRowShown="0" headerRowDxfId="311" dataDxfId="310">
  <autoFilter ref="A298:A308" xr:uid="{00000000-0009-0000-0100-000006000000}"/>
  <tableColumns count="1">
    <tableColumn id="1" xr3:uid="{00000000-0010-0000-0600-000001000000}" name="keuzelijst instelling - academisch:" dataDxfId="30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list_other" displayName="list_other" ref="C298:C306" totalsRowShown="0" headerRowDxfId="308" dataDxfId="307" tableBorderDxfId="306">
  <autoFilter ref="C298:C306" xr:uid="{00000000-0009-0000-0100-000009000000}"/>
  <tableColumns count="1">
    <tableColumn id="1" xr3:uid="{00000000-0010-0000-0700-000001000000}" name="lijst tbv keuze instelling - other institutes:" dataDxfId="30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list_combined" displayName="list_combined" ref="E298:E306" totalsRowShown="0" headerRowDxfId="304" dataDxfId="303" tableBorderDxfId="302">
  <autoFilter ref="E298:E306" xr:uid="{00000000-0009-0000-0100-00000B000000}"/>
  <tableColumns count="1">
    <tableColumn id="1" xr3:uid="{00000000-0010-0000-0800-000001000000}" name="lijst tbv keuze instelling - gecombineerd:" dataDxfId="30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list_cofunders" displayName="list_cofunders" ref="G298:H316" totalsRowShown="0" headerRowDxfId="300" dataDxfId="299" tableBorderDxfId="298">
  <autoFilter ref="G298:H316" xr:uid="{00000000-0009-0000-0100-00000C000000}"/>
  <tableColumns count="2">
    <tableColumn id="1" xr3:uid="{00000000-0010-0000-0900-000001000000}" name="list cofunders" dataDxfId="297"/>
    <tableColumn id="2" xr3:uid="{00000000-0010-0000-0900-000002000000}" name="private?" dataDxfId="29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salaries_academic" displayName="salaries_academic" ref="A87:CT106" totalsRowShown="0" headerRowDxfId="295" dataDxfId="294" tableBorderDxfId="293">
  <autoFilter ref="A87:CT106" xr:uid="{00000000-0009-0000-0100-000001000000}">
    <filterColumn colId="0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</autoFilter>
  <tableColumns count="98">
    <tableColumn id="1" xr3:uid="{00000000-0010-0000-0A00-000001000000}" name="category" dataDxfId="292"/>
    <tableColumn id="98" xr3:uid="{00000000-0010-0000-0A00-000062000000}" name="instruction" dataDxfId="291"/>
    <tableColumn id="2" xr3:uid="{00000000-0010-0000-0A00-000002000000}" name="1" dataDxfId="290"/>
    <tableColumn id="3" xr3:uid="{00000000-0010-0000-0A00-000003000000}" name="2" dataDxfId="289"/>
    <tableColumn id="4" xr3:uid="{00000000-0010-0000-0A00-000004000000}" name="3" dataDxfId="288"/>
    <tableColumn id="5" xr3:uid="{00000000-0010-0000-0A00-000005000000}" name="4" dataDxfId="287"/>
    <tableColumn id="6" xr3:uid="{00000000-0010-0000-0A00-000006000000}" name="5" dataDxfId="286"/>
    <tableColumn id="7" xr3:uid="{00000000-0010-0000-0A00-000007000000}" name="6" dataDxfId="285"/>
    <tableColumn id="8" xr3:uid="{00000000-0010-0000-0A00-000008000000}" name="7" dataDxfId="284"/>
    <tableColumn id="9" xr3:uid="{00000000-0010-0000-0A00-000009000000}" name="8" dataDxfId="283"/>
    <tableColumn id="10" xr3:uid="{00000000-0010-0000-0A00-00000A000000}" name="9" dataDxfId="282"/>
    <tableColumn id="11" xr3:uid="{00000000-0010-0000-0A00-00000B000000}" name="10" dataDxfId="281"/>
    <tableColumn id="12" xr3:uid="{00000000-0010-0000-0A00-00000C000000}" name="11" dataDxfId="280"/>
    <tableColumn id="13" xr3:uid="{00000000-0010-0000-0A00-00000D000000}" name="12" dataDxfId="279"/>
    <tableColumn id="14" xr3:uid="{00000000-0010-0000-0A00-00000E000000}" name="13" dataDxfId="278"/>
    <tableColumn id="15" xr3:uid="{00000000-0010-0000-0A00-00000F000000}" name="14" dataDxfId="277"/>
    <tableColumn id="16" xr3:uid="{00000000-0010-0000-0A00-000010000000}" name="15" dataDxfId="276"/>
    <tableColumn id="17" xr3:uid="{00000000-0010-0000-0A00-000011000000}" name="16" dataDxfId="275"/>
    <tableColumn id="18" xr3:uid="{00000000-0010-0000-0A00-000012000000}" name="17" dataDxfId="274"/>
    <tableColumn id="19" xr3:uid="{00000000-0010-0000-0A00-000013000000}" name="18" dataDxfId="273"/>
    <tableColumn id="20" xr3:uid="{00000000-0010-0000-0A00-000014000000}" name="19" dataDxfId="272"/>
    <tableColumn id="21" xr3:uid="{00000000-0010-0000-0A00-000015000000}" name="20" dataDxfId="271"/>
    <tableColumn id="22" xr3:uid="{00000000-0010-0000-0A00-000016000000}" name="21" dataDxfId="270"/>
    <tableColumn id="23" xr3:uid="{00000000-0010-0000-0A00-000017000000}" name="22" dataDxfId="269"/>
    <tableColumn id="24" xr3:uid="{00000000-0010-0000-0A00-000018000000}" name="23" dataDxfId="268"/>
    <tableColumn id="25" xr3:uid="{00000000-0010-0000-0A00-000019000000}" name="24" dataDxfId="267"/>
    <tableColumn id="26" xr3:uid="{00000000-0010-0000-0A00-00001A000000}" name="25" dataDxfId="266"/>
    <tableColumn id="27" xr3:uid="{00000000-0010-0000-0A00-00001B000000}" name="26" dataDxfId="265"/>
    <tableColumn id="28" xr3:uid="{00000000-0010-0000-0A00-00001C000000}" name="27" dataDxfId="264"/>
    <tableColumn id="29" xr3:uid="{00000000-0010-0000-0A00-00001D000000}" name="28" dataDxfId="263"/>
    <tableColumn id="30" xr3:uid="{00000000-0010-0000-0A00-00001E000000}" name="29" dataDxfId="262"/>
    <tableColumn id="31" xr3:uid="{00000000-0010-0000-0A00-00001F000000}" name="30" dataDxfId="261"/>
    <tableColumn id="32" xr3:uid="{00000000-0010-0000-0A00-000020000000}" name="31" dataDxfId="260"/>
    <tableColumn id="33" xr3:uid="{00000000-0010-0000-0A00-000021000000}" name="32" dataDxfId="259"/>
    <tableColumn id="34" xr3:uid="{00000000-0010-0000-0A00-000022000000}" name="33" dataDxfId="258"/>
    <tableColumn id="35" xr3:uid="{00000000-0010-0000-0A00-000023000000}" name="34" dataDxfId="257"/>
    <tableColumn id="36" xr3:uid="{00000000-0010-0000-0A00-000024000000}" name="35" dataDxfId="256"/>
    <tableColumn id="37" xr3:uid="{00000000-0010-0000-0A00-000025000000}" name="36" dataDxfId="255"/>
    <tableColumn id="38" xr3:uid="{00000000-0010-0000-0A00-000026000000}" name="37" dataDxfId="254"/>
    <tableColumn id="39" xr3:uid="{00000000-0010-0000-0A00-000027000000}" name="38" dataDxfId="253"/>
    <tableColumn id="40" xr3:uid="{00000000-0010-0000-0A00-000028000000}" name="39" dataDxfId="252"/>
    <tableColumn id="41" xr3:uid="{00000000-0010-0000-0A00-000029000000}" name="40" dataDxfId="251"/>
    <tableColumn id="42" xr3:uid="{00000000-0010-0000-0A00-00002A000000}" name="41" dataDxfId="250"/>
    <tableColumn id="43" xr3:uid="{00000000-0010-0000-0A00-00002B000000}" name="42" dataDxfId="249"/>
    <tableColumn id="44" xr3:uid="{00000000-0010-0000-0A00-00002C000000}" name="43" dataDxfId="248"/>
    <tableColumn id="45" xr3:uid="{00000000-0010-0000-0A00-00002D000000}" name="44" dataDxfId="247"/>
    <tableColumn id="46" xr3:uid="{00000000-0010-0000-0A00-00002E000000}" name="45" dataDxfId="246"/>
    <tableColumn id="47" xr3:uid="{00000000-0010-0000-0A00-00002F000000}" name="46" dataDxfId="245"/>
    <tableColumn id="48" xr3:uid="{00000000-0010-0000-0A00-000030000000}" name="47" dataDxfId="244"/>
    <tableColumn id="49" xr3:uid="{00000000-0010-0000-0A00-000031000000}" name="48" dataDxfId="243"/>
    <tableColumn id="50" xr3:uid="{00000000-0010-0000-0A00-000032000000}" name="49" dataDxfId="242"/>
    <tableColumn id="51" xr3:uid="{00000000-0010-0000-0A00-000033000000}" name="50" dataDxfId="241"/>
    <tableColumn id="52" xr3:uid="{00000000-0010-0000-0A00-000034000000}" name="51" dataDxfId="240"/>
    <tableColumn id="53" xr3:uid="{00000000-0010-0000-0A00-000035000000}" name="52" dataDxfId="239"/>
    <tableColumn id="54" xr3:uid="{00000000-0010-0000-0A00-000036000000}" name="53" dataDxfId="238"/>
    <tableColumn id="55" xr3:uid="{00000000-0010-0000-0A00-000037000000}" name="54" dataDxfId="237"/>
    <tableColumn id="56" xr3:uid="{00000000-0010-0000-0A00-000038000000}" name="55" dataDxfId="236"/>
    <tableColumn id="57" xr3:uid="{00000000-0010-0000-0A00-000039000000}" name="56" dataDxfId="235"/>
    <tableColumn id="58" xr3:uid="{00000000-0010-0000-0A00-00003A000000}" name="57" dataDxfId="234"/>
    <tableColumn id="59" xr3:uid="{00000000-0010-0000-0A00-00003B000000}" name="58" dataDxfId="233"/>
    <tableColumn id="60" xr3:uid="{00000000-0010-0000-0A00-00003C000000}" name="59" dataDxfId="232"/>
    <tableColumn id="61" xr3:uid="{00000000-0010-0000-0A00-00003D000000}" name="60" dataDxfId="231"/>
    <tableColumn id="62" xr3:uid="{00000000-0010-0000-0A00-00003E000000}" name="61" dataDxfId="230"/>
    <tableColumn id="63" xr3:uid="{00000000-0010-0000-0A00-00003F000000}" name="62" dataDxfId="229"/>
    <tableColumn id="64" xr3:uid="{00000000-0010-0000-0A00-000040000000}" name="63" dataDxfId="228"/>
    <tableColumn id="65" xr3:uid="{00000000-0010-0000-0A00-000041000000}" name="64" dataDxfId="227"/>
    <tableColumn id="66" xr3:uid="{00000000-0010-0000-0A00-000042000000}" name="65" dataDxfId="226"/>
    <tableColumn id="67" xr3:uid="{00000000-0010-0000-0A00-000043000000}" name="66" dataDxfId="225"/>
    <tableColumn id="68" xr3:uid="{00000000-0010-0000-0A00-000044000000}" name="67" dataDxfId="224"/>
    <tableColumn id="69" xr3:uid="{00000000-0010-0000-0A00-000045000000}" name="68" dataDxfId="223"/>
    <tableColumn id="70" xr3:uid="{00000000-0010-0000-0A00-000046000000}" name="69" dataDxfId="222"/>
    <tableColumn id="71" xr3:uid="{00000000-0010-0000-0A00-000047000000}" name="70" dataDxfId="221"/>
    <tableColumn id="72" xr3:uid="{00000000-0010-0000-0A00-000048000000}" name="71" dataDxfId="220"/>
    <tableColumn id="73" xr3:uid="{00000000-0010-0000-0A00-000049000000}" name="72" dataDxfId="219"/>
    <tableColumn id="74" xr3:uid="{00000000-0010-0000-0A00-00004A000000}" name="73" dataDxfId="218"/>
    <tableColumn id="75" xr3:uid="{00000000-0010-0000-0A00-00004B000000}" name="74" dataDxfId="217"/>
    <tableColumn id="76" xr3:uid="{00000000-0010-0000-0A00-00004C000000}" name="75" dataDxfId="216"/>
    <tableColumn id="77" xr3:uid="{00000000-0010-0000-0A00-00004D000000}" name="76" dataDxfId="215"/>
    <tableColumn id="78" xr3:uid="{00000000-0010-0000-0A00-00004E000000}" name="77" dataDxfId="214"/>
    <tableColumn id="79" xr3:uid="{00000000-0010-0000-0A00-00004F000000}" name="78" dataDxfId="213"/>
    <tableColumn id="80" xr3:uid="{00000000-0010-0000-0A00-000050000000}" name="79" dataDxfId="212"/>
    <tableColumn id="81" xr3:uid="{00000000-0010-0000-0A00-000051000000}" name="80" dataDxfId="211"/>
    <tableColumn id="82" xr3:uid="{00000000-0010-0000-0A00-000052000000}" name="81" dataDxfId="210"/>
    <tableColumn id="83" xr3:uid="{00000000-0010-0000-0A00-000053000000}" name="82" dataDxfId="209"/>
    <tableColumn id="84" xr3:uid="{00000000-0010-0000-0A00-000054000000}" name="83" dataDxfId="208"/>
    <tableColumn id="85" xr3:uid="{00000000-0010-0000-0A00-000055000000}" name="84" dataDxfId="207"/>
    <tableColumn id="86" xr3:uid="{00000000-0010-0000-0A00-000056000000}" name="85" dataDxfId="206"/>
    <tableColumn id="87" xr3:uid="{00000000-0010-0000-0A00-000057000000}" name="86" dataDxfId="205"/>
    <tableColumn id="88" xr3:uid="{00000000-0010-0000-0A00-000058000000}" name="87" dataDxfId="204"/>
    <tableColumn id="89" xr3:uid="{00000000-0010-0000-0A00-000059000000}" name="88" dataDxfId="203"/>
    <tableColumn id="90" xr3:uid="{00000000-0010-0000-0A00-00005A000000}" name="89" dataDxfId="202"/>
    <tableColumn id="91" xr3:uid="{00000000-0010-0000-0A00-00005B000000}" name="90" dataDxfId="201"/>
    <tableColumn id="92" xr3:uid="{00000000-0010-0000-0A00-00005C000000}" name="91" dataDxfId="200"/>
    <tableColumn id="93" xr3:uid="{00000000-0010-0000-0A00-00005D000000}" name="92" dataDxfId="199"/>
    <tableColumn id="94" xr3:uid="{00000000-0010-0000-0A00-00005E000000}" name="93" dataDxfId="198"/>
    <tableColumn id="95" xr3:uid="{00000000-0010-0000-0A00-00005F000000}" name="94" dataDxfId="197"/>
    <tableColumn id="96" xr3:uid="{00000000-0010-0000-0A00-000060000000}" name="95" dataDxfId="196"/>
    <tableColumn id="97" xr3:uid="{00000000-0010-0000-0A00-000061000000}" name="96" dataDxfId="19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salaries_other_inst" displayName="salaries_other_inst" ref="A114:B115" totalsRowShown="0" headerRowDxfId="194" dataDxfId="193" tableBorderDxfId="192">
  <autoFilter ref="A114:B115" xr:uid="{00000000-0009-0000-0100-000016000000}"/>
  <tableColumns count="2">
    <tableColumn id="1" xr3:uid="{00000000-0010-0000-0B00-000001000000}" name="category" dataDxfId="191"/>
    <tableColumn id="2" xr3:uid="{00000000-0010-0000-0B00-000002000000}" name="Max hourly rate" dataDxfId="19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CCC_table" displayName="CCC_table" ref="A123:E290" totalsRowShown="0" headerRowDxfId="189" dataDxfId="188">
  <autoFilter ref="A123:E290" xr:uid="{00000000-0009-0000-0100-000017000000}"/>
  <tableColumns count="5">
    <tableColumn id="1" xr3:uid="{00000000-0010-0000-0C00-000001000000}" name="Code" dataDxfId="187"/>
    <tableColumn id="2" xr3:uid="{00000000-0010-0000-0C00-000002000000}" name="Country" dataDxfId="186"/>
    <tableColumn id="3" xr3:uid="{00000000-0010-0000-0C00-000003000000}" name="Code and Country" dataDxfId="185">
      <calculatedColumnFormula>A124&amp;" "&amp;B124&amp;" "&amp;"CCC: "&amp;D124</calculatedColumnFormula>
    </tableColumn>
    <tableColumn id="4" xr3:uid="{00000000-0010-0000-0C00-000004000000}" name="CC" dataDxfId="184"/>
    <tableColumn id="5" xr3:uid="{00000000-0010-0000-0C00-000005000000}" name="Categorie" dataDxfId="18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D000000}" name="check_items" displayName="check_items" ref="A117:C192" totalsRowShown="0" headerRowDxfId="103" dataDxfId="102">
  <autoFilter ref="A117:C192" xr:uid="{00000000-0009-0000-0100-000018000000}"/>
  <tableColumns count="3">
    <tableColumn id="1" xr3:uid="{00000000-0010-0000-0D00-000001000000}" name="Situation" dataDxfId="101"/>
    <tableColumn id="2" xr3:uid="{00000000-0010-0000-0D00-000002000000}" name="Message" dataDxfId="100"/>
    <tableColumn id="3" xr3:uid="{00000000-0010-0000-0D00-000003000000}" name="Remarks" dataDxfId="9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E000000}" name="personnel_ac_notes" displayName="personnel_ac_notes" ref="A207:Z307" totalsRowShown="0" headerRowDxfId="98" dataDxfId="97">
  <autoFilter ref="A207:Z307" xr:uid="{00000000-0009-0000-0100-000019000000}"/>
  <tableColumns count="26">
    <tableColumn id="1" xr3:uid="{00000000-0010-0000-0E00-000001000000}" name="Row nr" dataDxfId="96"/>
    <tableColumn id="13" xr3:uid="{00000000-0010-0000-0E00-00000D000000}" name="Combined notes" dataDxfId="95">
      <calculatedColumnFormula array="1">IFERROR(INDEX(personnel_ac_notes[[#This Row],[Exceeding nr months]:[Costs specified]],1,MATCH(TRUE,LEN(personnel_ac_notes[[#This Row],[Exceeding nr months]:[Costs specified]])&gt;0,0)),"")</calculatedColumnFormula>
    </tableColumn>
    <tableColumn id="2" xr3:uid="{00000000-0010-0000-0E00-000002000000}" name="Exceeding nr months" dataDxfId="94">
      <calculatedColumnFormula>IFERROR(IF(INDEX(#REF!,A208)&gt;Max_project_duration,$B$128,""),"")</calculatedColumnFormula>
    </tableColumn>
    <tableColumn id="24" xr3:uid="{00000000-0010-0000-0E00-000018000000}" name="Empty lines" dataDxfId="93">
      <calculatedColumnFormula>IFERROR(IF(AND(LEN(INDEX(#REF!,A208))+LEN(INDEX(#REF!,A208))+LEN(INDEX(#REF!,A208))&gt;0,LEN(INDEX(#REF!,A208-1))+LEN(INDEX(#REF!,A208-1))+LEN(INDEX(#REF!,A208-1))=0),$B$127,""),"")</calculatedColumnFormula>
    </tableColumn>
    <tableColumn id="25" xr3:uid="{00000000-0010-0000-0E00-000019000000}" name="Instruction" dataDxfId="92">
      <calculatedColumnFormula>IF(AND(NOT(ISBLANK(INDEX(#REF!,A208))),OR(ISBLANK(INDEX(#REF!,A208)),ISBLANK(INDEX(#REF!,A208)))),VLOOKUP(INDEX(#REF!,A208),salaries_academic[],2,FALSE),"")</calculatedColumnFormula>
    </tableColumn>
    <tableColumn id="3" xr3:uid="{00000000-0010-0000-0E00-000003000000}" name="PhD duration too small" dataDxfId="91">
      <calculatedColumnFormula>IFERROR(IF(COUNTIF(INDEX(#REF!,A208),"*- PhD*")&gt;0,IF(INDEX(#REF!,A208)*INDEX(#REF!,A208)&lt;pers_PhD_min_months,$B$129,""),""),"")</calculatedColumnFormula>
    </tableColumn>
    <tableColumn id="26" xr3:uid="{00000000-0010-0000-0E00-00001A000000}" name="PhD too long" dataDxfId="90">
      <calculatedColumnFormula>IFERROR(IF(COUNTIF(INDEX(#REF!,$A208),"*- PhD*")&gt;0,IF(INDEX(#REF!,$A208)*INDEX(#REF!,$A208)&gt;pers_PhD_max_months,$B$130,""),""),"")</calculatedColumnFormula>
    </tableColumn>
    <tableColumn id="4" xr3:uid="{00000000-0010-0000-0E00-000004000000}" name="3y PhD &lt;36 months" dataDxfId="89">
      <calculatedColumnFormula>IFERROR(IF(COUNTIF(INDEX(#REF!,A208),"*year*")&gt;0,IF(INDEX(#REF!,A208)*INDEX(#REF!,A208)&lt;pers_3yPhD_min_months,$B$131,""),""),"")</calculatedColumnFormula>
    </tableColumn>
    <tableColumn id="5" xr3:uid="{00000000-0010-0000-0E00-000005000000}" name="PDEng combination with PhD/PD" dataDxfId="88">
      <calculatedColumnFormula>IFERROR(IF(COUNTIF(INDEX(#REF!,A208),"*PDEng*")&gt;0,IF(OR(IFERROR(MATCH("*PhD*",#REF!,0),0)&gt;0,IFERROR(MATCH("*PostDoc*",#REF!,0),0)&gt;0),"",$B$132),""),"")</calculatedColumnFormula>
    </tableColumn>
    <tableColumn id="6" xr3:uid="{00000000-0010-0000-0E00-000006000000}" name="PDEng duration" dataDxfId="87">
      <calculatedColumnFormula>IFERROR(IF(COUNTIF(INDEX(#REF!,A208),"*PDEng*")&gt;0,IF(INDEX(#REF!,A208)*INDEX(#REF!,A208)&gt;pers_PDEng_max_months,$B$133,""),""),"")</calculatedColumnFormula>
    </tableColumn>
    <tableColumn id="7" xr3:uid="{00000000-0010-0000-0E00-000007000000}" name="PD min duration" dataDxfId="86">
      <calculatedColumnFormula>IFERROR(IF(COUNTIF(INDEX(#REF!,A208),"*PostDoc*")&gt;0,IF(INDEX(#REF!,A208)*INDEX(#REF!,A208)&lt;pers_PD_min_months,$B$134,""),""),"")</calculatedColumnFormula>
    </tableColumn>
    <tableColumn id="8" xr3:uid="{00000000-0010-0000-0E00-000008000000}" name="PD max duration" dataDxfId="85">
      <calculatedColumnFormula>IFERROR(IF(COUNTIF(INDEX(#REF!,A208),"*PostDoc*")&gt;0,IF(INDEX(#REF!,A208)*INDEX(#REF!,A208)&gt;pers_PD_max_months,$B$135,""),""),"")</calculatedColumnFormula>
    </tableColumn>
    <tableColumn id="9" xr3:uid="{00000000-0010-0000-0E00-000009000000}" name="NSP combi" dataDxfId="84">
      <calculatedColumnFormula>IFERROR(IF(COUNTIF(INDEX(#REF!,A208),"*Non-scientific*")&gt;0,IF(OR(IFERROR(MATCH("*PhD*",#REF!,0),0)&gt;0,IFERROR(MATCH("*PostDoc*",#REF!,0),0)&gt;0),"",$B$136),""),"")</calculatedColumnFormula>
    </tableColumn>
    <tableColumn id="10" xr3:uid="{00000000-0010-0000-0E00-00000A000000}" name="NSP max amount" dataDxfId="83">
      <calculatedColumnFormula>IFERROR(IF(COUNTIF(INDEX(#REF!,A208),"*Non-scientific*")&gt;0,IF(Total_NSP&gt;pers_max_NSP,$B$137,""),""),"")</calculatedColumnFormula>
    </tableColumn>
    <tableColumn id="11" xr3:uid="{00000000-0010-0000-0E00-00000B000000}" name="NSP min duration" dataDxfId="82">
      <calculatedColumnFormula>IFERROR(IF(COUNTIF(INDEX(#REF!,A208),"*Non-scientific*")&gt;0,IF(INDEX(#REF!,A208)*INDEX(#REF!,A208)&lt;pers_NSP_min_months,$B$138,""),""),"")</calculatedColumnFormula>
    </tableColumn>
    <tableColumn id="12" xr3:uid="{00000000-0010-0000-0E00-00000C000000}" name="NSP max duration" dataDxfId="81">
      <calculatedColumnFormula>IFERROR(IF(COUNTIF(INDEX(#REF!,A208),"*Non-scientific*")&gt;0,IF(INDEX(#REF!,A208)*INDEX(#REF!,A208)&gt;pers_NSP_max_months,$B$139,""),""),"")</calculatedColumnFormula>
    </tableColumn>
    <tableColumn id="14" xr3:uid="{00000000-0010-0000-0E00-00000E000000}" name="OSP combi with PD/PhD" dataDxfId="80">
      <calculatedColumnFormula>IFERROR(IF(COUNTIF(INDEX(#REF!,A208),"*Other scientific*")&gt;0,IF(OR(IFERROR(MATCH("*PhD*",#REF!,0),0)&gt;0,IFERROR(MATCH("*PostDoc*",#REF!,0),0)&gt;0),"",$B$140),""),"")</calculatedColumnFormula>
    </tableColumn>
    <tableColumn id="15" xr3:uid="{00000000-0010-0000-0E00-00000F000000}" name="OSP max amount" dataDxfId="79">
      <calculatedColumnFormula>IFERROR(IF(COUNTIF(INDEX(#REF!,A208),"*Other scientific*")&gt;0,IF(Total_OSP&gt;pers_max_OSP,$B$141,""),""),"")</calculatedColumnFormula>
    </tableColumn>
    <tableColumn id="16" xr3:uid="{00000000-0010-0000-0E00-000010000000}" name="OSP min duration" dataDxfId="78">
      <calculatedColumnFormula>IFERROR(IF(COUNTIF(INDEX(#REF!,A208),"*Other scientific*")&gt;0,IF(INDEX(#REF!,A208)*INDEX(#REF!,A208)&lt;pers_OSP_min_months,$B$142,""),""),"")</calculatedColumnFormula>
    </tableColumn>
    <tableColumn id="17" xr3:uid="{00000000-0010-0000-0E00-000011000000}" name="OSP max duration" dataDxfId="77">
      <calculatedColumnFormula>IFERROR(IF(COUNTIF(INDEX(#REF!,A208),"*Other scientific*")&gt;0,IF(INDEX(#REF!,A208)*INDEX(#REF!,A208)&gt;pers_OSP_max_months,$B$143,""),""),"")</calculatedColumnFormula>
    </tableColumn>
    <tableColumn id="20" xr3:uid="{00000000-0010-0000-0E00-000014000000}" name="Research Leave - amount" dataDxfId="76">
      <calculatedColumnFormula>IFERROR(IF(COUNTIF(INDEX(#REF!,A208),"*leave*")&gt;0,IF(Total_Research_leave&gt;pers_leave_maxperc*Total_NWO_funding,$B$144,""),""),"")</calculatedColumnFormula>
    </tableColumn>
    <tableColumn id="18" xr3:uid="{00000000-0010-0000-0E00-000012000000}" name="Research leave - max duration" dataDxfId="75">
      <calculatedColumnFormula>IFERROR(IF(COUNTIF(INDEX(#REF!,A208),"*leave*")&gt;0,IF(Research_leave_FTE_months&gt;pers_leave_maxduration,$B$145,""),""),"")</calculatedColumnFormula>
    </tableColumn>
    <tableColumn id="23" xr3:uid="{00000000-0010-0000-0E00-000017000000}" name="No costs given" dataDxfId="74">
      <calculatedColumnFormula>IFERROR(IF(AND(INDEX(#REF!,A208)=0,INDEX(salaries_academic[[category]:[1]],MATCH(INDEX(#REF!,A208),salaries_academic[category],0),3)=0),$B$148,""),"")</calculatedColumnFormula>
    </tableColumn>
    <tableColumn id="19" xr3:uid="{00000000-0010-0000-0E00-000013000000}" name="Organisation type" dataDxfId="73">
      <calculatedColumnFormula>IF(AND(organisation_type="yes",INDEX(#REF!,A208,1)&lt;&gt;"",ISBLANK(INDEX(#REF!,A208,1))),$B$146,"")</calculatedColumnFormula>
    </tableColumn>
    <tableColumn id="22" xr3:uid="{00000000-0010-0000-0E00-000016000000}" name="Name organisation" dataDxfId="72">
      <calculatedColumnFormula>IF(AND(organisation_name="yes",INDEX(#REF!,A208,1)&lt;&gt;"",ISBLANK(INDEX(#REF!,A208,1))),$B$147,"")</calculatedColumnFormula>
    </tableColumn>
    <tableColumn id="21" xr3:uid="{00000000-0010-0000-0E00-000015000000}" name="Costs specified" dataDxfId="71">
      <calculatedColumnFormula>IFERROR(IF(AND(INDEX(#REF!,A208)&gt;0,INDEX(salaries_academic[[category]:[1]],MATCH(INDEX(#REF!,A208),salaries_academic[category],0),3)&gt;0),$B$149,""),"")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personnel_other_inst" displayName="personnel_other_inst" ref="A311:I411" totalsRowShown="0" headerRowDxfId="70" dataDxfId="68" headerRowBorderDxfId="69" tableBorderDxfId="67">
  <autoFilter ref="A311:I411" xr:uid="{00000000-0009-0000-0100-00001D000000}"/>
  <tableColumns count="9">
    <tableColumn id="1" xr3:uid="{00000000-0010-0000-0F00-000001000000}" name="Row nr" dataDxfId="66"/>
    <tableColumn id="2" xr3:uid="{00000000-0010-0000-0F00-000002000000}" name="Combined notes" dataDxfId="65">
      <calculatedColumnFormula array="1">IFERROR(INDEX(personnel_other_inst[[#This Row],[Empty lines]:[Name organisation]],1,MATCH(TRUE,LEN(personnel_other_inst[[#This Row],[Empty lines]:[Name organisation]])&gt;0,0)),"")</calculatedColumnFormula>
    </tableColumn>
    <tableColumn id="9" xr3:uid="{00000000-0010-0000-0F00-000009000000}" name="Empty lines" dataDxfId="64">
      <calculatedColumnFormula>IFERROR(IF(AND(LEN(INDEX(#REF!,A312))+LEN(INDEX(#REF!,A312))+LEN(INDEX(#REF!,A312))+LEN(INDEX(#REF!,A312))&gt;0,LEN(INDEX(#REF!,A312-1))+LEN(INDEX(#REF!,A312-1))+LEN(INDEX(#REF!,A312-1))+LEN(INDEX(#REF!,A312-1))=0),$B$127,""),"")</calculatedColumnFormula>
    </tableColumn>
    <tableColumn id="3" xr3:uid="{00000000-0010-0000-0F00-000003000000}" name="No category selected" dataDxfId="63">
      <calculatedColumnFormula>IFERROR(IF(AND(INDEX(#REF!,A312)="",OR(INDEX(#REF!,A312)&gt;0,INDEX(#REF!,A312)&gt;0,INDEX(#REF!,A312)&gt;0)),$B$152,""),"")</calculatedColumnFormula>
    </tableColumn>
    <tableColumn id="4" xr3:uid="{00000000-0010-0000-0F00-000004000000}" name="Hourly rate too high" dataDxfId="62">
      <calculatedColumnFormula>SUBSTITUTE(IF(INDEX(#REF!,A312)&gt;IFERROR(INDEX(salaries_other_inst[Max hourly rate],MATCH(INDEX(#REF!,A312),salaries_other_inst[category],0),1),""),$B$153,""),"&lt;&lt;max_hourly_rate&gt;&gt;",TEXT(IFERROR(INDEX(salaries_other_inst[Max hourly rate],MATCH(INDEX(#REF!,A312),salaries_other_inst[category],0),1),""),"€ #"))</calculatedColumnFormula>
    </tableColumn>
    <tableColumn id="8" xr3:uid="{00000000-0010-0000-0F00-000008000000}" name="Nr months not given" dataDxfId="61">
      <calculatedColumnFormula>IFERROR(IF(AND(INDEX(#REF!,A312)&lt;&gt;"",INDEX(#REF!,A312)=0),$B$155,""),"")</calculatedColumnFormula>
    </tableColumn>
    <tableColumn id="6" xr3:uid="{00000000-0010-0000-0F00-000006000000}" name="exceeding 1 FTE" dataDxfId="60">
      <calculatedColumnFormula>IFERROR(IF(12*INDEX(#REF!,A312)/INDEX(#REF!,A312)&gt;pers_other_nrhours_year,checks!$B$156,""),"")</calculatedColumnFormula>
    </tableColumn>
    <tableColumn id="5" xr3:uid="{00000000-0010-0000-0F00-000005000000}" name="Organisation type" dataDxfId="59">
      <calculatedColumnFormula>IF(AND(organisation_type="yes",INDEX(#REF!,A312,1)&lt;&gt;"",ISBLANK(INDEX(#REF!,A312,1))),$B$146,"")</calculatedColumnFormula>
    </tableColumn>
    <tableColumn id="7" xr3:uid="{00000000-0010-0000-0F00-000007000000}" name="Name organisation" dataDxfId="58">
      <calculatedColumnFormula>IF(AND(organisation_name="yes",INDEX(#REF!,A312,1)&lt;&gt;"",ISBLANK(INDEX(#REF!,A312,1))),$B$147,"")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10000000}" name="personnel_other_inst_21" displayName="personnel_other_inst_21" ref="A415:I515" totalsRowShown="0" headerRowDxfId="57" dataDxfId="55" headerRowBorderDxfId="56" tableBorderDxfId="54">
  <autoFilter ref="A415:I515" xr:uid="{00000000-0009-0000-0100-000022000000}"/>
  <tableColumns count="9">
    <tableColumn id="1" xr3:uid="{00000000-0010-0000-1000-000001000000}" name="Row nr" dataDxfId="53"/>
    <tableColumn id="2" xr3:uid="{00000000-0010-0000-1000-000002000000}" name="Combined notes" dataDxfId="52">
      <calculatedColumnFormula array="1">IFERROR(INDEX(personnel_other_inst_21[[#This Row],[Empty lines]:[Name organisation]],1,MATCH(TRUE,LEN(personnel_other_inst_21[[#This Row],[Empty lines]:[Name organisation]])&gt;0,0)),"")</calculatedColumnFormula>
    </tableColumn>
    <tableColumn id="9" xr3:uid="{00000000-0010-0000-1000-000009000000}" name="Empty lines" dataDxfId="51">
      <calculatedColumnFormula>IFERROR(IF(AND(LEN(INDEX(pers_other_inst_2021[Description],A416))+LEN(INDEX(pers_other_inst_2021[Scale],A416))+LEN(INDEX(pers_other_inst_2021[Hourly rate],A416))+LEN(INDEX(pers_other_inst_2021[Total '# hrs],A416))+LEN(INDEX(pers_other_inst_2021[Months],A416))&gt;0,LEN(INDEX(pers_other_inst_2021[Description],A416-1))++LEN(INDEX(pers_other_inst_2021[Scale],A416-1))+LEN(INDEX(pers_other_inst_2021[Hourly rate],A416-1))+LEN(INDEX(pers_other_inst_2021[Total '# hrs],A416-1))+LEN(INDEX(pers_other_inst_2021[Months],A416-1))=0),$B$127,""),"")</calculatedColumnFormula>
    </tableColumn>
    <tableColumn id="3" xr3:uid="{00000000-0010-0000-1000-000003000000}" name="No category selected" dataDxfId="50">
      <calculatedColumnFormula>IFERROR(IF(AND(INDEX(pers_other_inst_2021[Description],A416)="",OR(INDEX(pers_other_inst_2021[Total '# hrs],A416)&gt;0,INDEX(pers_other_inst_2021[Months],A416)&gt;0,INDEX(pers_other_inst_2021[Hourly rate],A416)&gt;0)),$B$154,""),"")</calculatedColumnFormula>
    </tableColumn>
    <tableColumn id="4" xr3:uid="{00000000-0010-0000-1000-000004000000}" name="Hourly rate too high" dataDxfId="49">
      <calculatedColumnFormula>SUBSTITUTE(IF(INDEX(pers_other_inst_2021[Hourly rate],A416)&gt;IFERROR(INDEX(salaries_other_inst[Max hourly rate],MATCH(INDEX(pers_other_inst_2021[Scale],A416),salaries_other_inst[category],0),1),""),$B$153,""),"&lt;&lt;max_hourly_rate&gt;&gt;",TEXT(IFERROR(INDEX(salaries_other_inst[Max hourly rate],MATCH(INDEX(pers_other_inst_2021[Scale],A416),salaries_other_inst[category],0),1),""),"€ #"))</calculatedColumnFormula>
    </tableColumn>
    <tableColumn id="7" xr3:uid="{00000000-0010-0000-1000-000007000000}" name="Nr of months not given" dataDxfId="48">
      <calculatedColumnFormula>IFERROR(IF(AND(INDEX(pers_other_inst_2021[Amount],A416)&lt;&gt;"",INDEX(pers_other_inst_2021[Months],A416)=0),$B$155,""),"")</calculatedColumnFormula>
    </tableColumn>
    <tableColumn id="6" xr3:uid="{00000000-0010-0000-1000-000006000000}" name="exceeding 1 FTE" dataDxfId="47">
      <calculatedColumnFormula>IFERROR(IF(12*INDEX(pers_other_inst_2021[Total '# hrs],A416)/INDEX(pers_other_inst_2021[Months],A416)&gt;pers_other_nrhours_year,checks!$A$156,""),"")</calculatedColumnFormula>
    </tableColumn>
    <tableColumn id="5" xr3:uid="{00000000-0010-0000-1000-000005000000}" name="Organisation type" dataDxfId="46">
      <calculatedColumnFormula>IF(AND(organisation_type="yes",INDEX(pers_other_inst_2021[Amount],A312,1)&lt;&gt;"",ISBLANK(INDEX(pers_other_inst_2021[Organisation type],A312,1))),$B$146,"")</calculatedColumnFormula>
    </tableColumn>
    <tableColumn id="8" xr3:uid="{00000000-0010-0000-1000-000008000000}" name="Name organisation" dataDxfId="45">
      <calculatedColumnFormula>IF(AND(organisation_name="yes",INDEX(pers_other_inst_2021[Amount],A416,1)&lt;&gt;"",ISBLANK(INDEX(pers_other_inst_2021[Name organisation],A416,1))),$B$147,"")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1000000}" name="Tabel33" displayName="Tabel33" ref="A519:J619" totalsRowShown="0">
  <autoFilter ref="A519:J619" xr:uid="{00000000-0009-0000-0100-000021000000}"/>
  <tableColumns count="10">
    <tableColumn id="1" xr3:uid="{00000000-0010-0000-1100-000001000000}" name="Row nr" dataDxfId="44"/>
    <tableColumn id="2" xr3:uid="{00000000-0010-0000-1100-000002000000}" name="Combined notes" dataDxfId="43">
      <calculatedColumnFormula array="1">IFERROR(INDEX(Tabel33[[#This Row],[Empty line]:[organisation name]],1,MATCH(TRUE,LEN(Tabel33[[#This Row],[Empty line]:[organisation name]])&gt;0,0)),"")</calculatedColumnFormula>
    </tableColumn>
    <tableColumn id="10" xr3:uid="{00000000-0010-0000-1100-00000A000000}" name="Empty line" dataDxfId="42">
      <calculatedColumnFormula>IFERROR(IF(AND(LEN(INDEX(#REF!,$A520))+LEN(INDEX(#REF!,$A520))+LEN(INDEX(#REF!,$A520))+LEN(INDEX(#REF!,$A520))&gt;0,LEN(INDEX(#REF!,$A520-1))+LEN(INDEX(#REF!,$A520-1))+LEN(INDEX(#REF!,$A520-1))+LEN(INDEX(#REF!,$A520-1))=0),$B$127,""),"")</calculatedColumnFormula>
    </tableColumn>
    <tableColumn id="11" xr3:uid="{00000000-0010-0000-1100-00000B000000}" name="No category selected" dataDxfId="41">
      <calculatedColumnFormula>IFERROR(IF(AND(INDEX(#REF!="",$A520),OR(INDEX(#REF!,$A520)&gt;0,INDEX(#REF!,$A520)&gt;0,INDEX(#REF!,$A520)&gt;0,LEN(INDEX(#REF!,$A520))&gt;0)),$B$171,""),"")</calculatedColumnFormula>
    </tableColumn>
    <tableColumn id="6" xr3:uid="{00000000-0010-0000-1100-000006000000}" name="Instruction" dataDxfId="40">
      <calculatedColumnFormula>IF(AND(INDEX(#REF!,A520)&lt;&gt;"",OR(INDEX(#REF!,A520)&lt;=0,INDEX(#REF!,A520)&lt;=0)),INDEX(salaries_academic[],MATCH(INDEX(#REF!,A520),salaries_academic[category],0),2),"")</calculatedColumnFormula>
    </tableColumn>
    <tableColumn id="5" xr3:uid="{00000000-0010-0000-1100-000005000000}" name="Country not specified" dataDxfId="39">
      <calculatedColumnFormula>IFERROR(IF(Tabel33[[#This Row],[Instruction]]="",IF(AND(INDEX(#REF!="",A520),OR(INDEX(#REF!,A520)&lt;&gt;"",INDEX(#REF!,A520)&gt;0,INDEX(#REF!,A520)&gt;0,INDEX(#REF!,A520)&gt;0,LEN(INDEX(#REF!,A520))&gt;0)),$B$173,""),""),"")</calculatedColumnFormula>
    </tableColumn>
    <tableColumn id="4" xr3:uid="{00000000-0010-0000-1100-000004000000}" name="OSP - costs" dataDxfId="38">
      <calculatedColumnFormula>IF(AND(Tabel33[[#This Row],[Instruction]]="",Tabel33[[#This Row],[Country not specified]]=""),IF(AND(INDEX(#REF!,A520)&lt;&gt;"",INDEX(#REF!,A520)&lt;=0),IF(INDEX(salaries_academic[],MATCH(INDEX(#REF!,A520),salaries_academic[category],0),3)="",$B$172,""),""),"")</calculatedColumnFormula>
    </tableColumn>
    <tableColumn id="7" xr3:uid="{00000000-0010-0000-1100-000007000000}" name="cost not relevant" dataDxfId="37">
      <calculatedColumnFormula>IFERROR(IF(AND(INDEX(salaries_academic[],MATCH(INDEX(#REF!,A520),salaries_academic[category],0),3)&gt;0,INDEX(#REF!,A520)&gt;0),$B$174,""),"")</calculatedColumnFormula>
    </tableColumn>
    <tableColumn id="8" xr3:uid="{00000000-0010-0000-1100-000008000000}" name="organisation type" dataDxfId="36">
      <calculatedColumnFormula>IFERROR(IF(AND(organisation_type="yes",VALUE(INDEX(#REF!,A520))&gt;0,ISBLANK(INDEX(#REF!,A520))),$B$175,""),"")</calculatedColumnFormula>
    </tableColumn>
    <tableColumn id="9" xr3:uid="{00000000-0010-0000-1100-000009000000}" name="organisation name" dataDxfId="35">
      <calculatedColumnFormula>IFERROR(IF(AND(organisation_name="yes",VALUE(INDEX(#REF!,A520))&gt;0,ISBLANK(INDEX(#REF!,A520)),Tabel33[[#This Row],[organisation type]]=""),$B$176,""),"")</calculatedColumnFormula>
    </tableColumn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2000000}" name="cofunding_comb_notes" displayName="cofunding_comb_notes" ref="A744:E745" totalsRowShown="0" headerRowDxfId="34" dataDxfId="33">
  <autoFilter ref="A744:E745" xr:uid="{00000000-0009-0000-0100-000023000000}"/>
  <tableColumns count="5">
    <tableColumn id="1" xr3:uid="{00000000-0010-0000-1200-000001000000}" name="Combined notes" dataDxfId="32">
      <calculatedColumnFormula>cofunding_comb_notes[too less - no threshold]&amp;cofunding_comb_notes[too less - incl threshold]&amp;cofunding_comb_notes[private part too low]&amp;cofunding_comb_notes[too much]</calculatedColumnFormula>
    </tableColumn>
    <tableColumn id="2" xr3:uid="{00000000-0010-0000-1200-000002000000}" name="too less - no threshold" dataDxfId="31">
      <calculatedColumnFormula>IF(AND(cofunding_threshold=0,Total_cofunding&lt;cofunding_min_perc*Total_project_budget),$B$190,"")</calculatedColumnFormula>
    </tableColumn>
    <tableColumn id="3" xr3:uid="{00000000-0010-0000-1200-000003000000}" name="too less - incl threshold" dataDxfId="30">
      <calculatedColumnFormula>IF(AND(cofunding_threshold&gt;0,Total_cofunding&lt;cofunding_min_perc*(Total_project_budget-cofunding_threshold)),$B$189,"")</calculatedColumnFormula>
    </tableColumn>
    <tableColumn id="4" xr3:uid="{00000000-0010-0000-1200-000004000000}" name="private part too low" dataDxfId="29">
      <calculatedColumnFormula>IFERROR(IF(AND(total_private_cof&lt;cofunding_private_minperc*Total_project_budget,cofunding_comb_notes[too less - no threshold]="",cofunding_comb_notes[too less - incl threshold]=""),$B$191,""),"")</calculatedColumnFormula>
    </tableColumn>
    <tableColumn id="5" xr3:uid="{00000000-0010-0000-1200-000005000000}" name="too much" dataDxfId="28">
      <calculatedColumnFormula>IF(Total_cofunding&gt;cofunding_max_perc*Total_project_budget,B192,"")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3000000}" name="combined_dates" displayName="combined_dates" ref="A197:E198" totalsRowShown="0" headerRowDxfId="27" dataDxfId="26">
  <autoFilter ref="A197:E198" xr:uid="{00000000-0009-0000-0100-000024000000}"/>
  <tableColumns count="5">
    <tableColumn id="1" xr3:uid="{00000000-0010-0000-1300-000001000000}" name="Combined notes start/end date" dataDxfId="25">
      <calculatedColumnFormula array="1">IFERROR(INDEX(combined_dates[[#This Row],[start date missing]:[start date before now]],1,MATCH(TRUE,LEN(combined_dates[[#This Row],[start date missing]:[start date before now]])&gt;0,0)),"")</calculatedColumnFormula>
    </tableColumn>
    <tableColumn id="2" xr3:uid="{00000000-0010-0000-1300-000002000000}" name="start date missing" dataDxfId="24">
      <calculatedColumnFormula>IF(AND(Total_NWO_funding&gt;0,startdate=""),$B$121,"")</calculatedColumnFormula>
    </tableColumn>
    <tableColumn id="3" xr3:uid="{00000000-0010-0000-1300-000003000000}" name="end date missing" dataDxfId="23">
      <calculatedColumnFormula>IF(AND(Total_NWO_funding&gt;0,enddate=""),$B$122,"")</calculatedColumnFormula>
    </tableColumn>
    <tableColumn id="4" xr3:uid="{00000000-0010-0000-1300-000004000000}" name="start date before end date" dataDxfId="22">
      <calculatedColumnFormula>IF(AND(startdate&gt;enddate,NOT(ISBLANK(enddate))),$B$120,"")</calculatedColumnFormula>
    </tableColumn>
    <tableColumn id="5" xr3:uid="{00000000-0010-0000-1300-000005000000}" name="start date before now" dataDxfId="21">
      <calculatedColumnFormula>IF(AND(NOT(ISBLANK(startdate)),startdate&lt;TODAY()),$B$123,"")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4000000}" name="comb_notes_inkind" displayName="comb_notes_inkind" ref="A622:I722" totalsRowShown="0" headerRowDxfId="20" dataDxfId="19">
  <autoFilter ref="A622:I722" xr:uid="{00000000-0009-0000-0100-000025000000}"/>
  <tableColumns count="9">
    <tableColumn id="1" xr3:uid="{00000000-0010-0000-1400-000001000000}" name="Row nr" dataDxfId="18"/>
    <tableColumn id="2" xr3:uid="{00000000-0010-0000-1400-000002000000}" name="Combined notes" dataDxfId="17">
      <calculatedColumnFormula array="1">IFERROR(INDEX(comb_notes_inkind[[#This Row],[Empty line]:[No organisation name]],1,MATCH(TRUE,LEN(comb_notes_inkind[[#This Row],[Empty line]:[No organisation name]])&gt;0,0)),"")</calculatedColumnFormula>
    </tableColumn>
    <tableColumn id="3" xr3:uid="{00000000-0010-0000-1400-000003000000}" name="Empty line" dataDxfId="16">
      <calculatedColumnFormula>IFERROR(IF(AND(LEN(INDEX(#REF!,$A623))+LEN(INDEX(#REF!,$A623))+LEN(INDEX(#REF!,$A623))+LEN(INDEX(#REF!,$A623))&gt;0,LEN(INDEX(#REF!,$A623-1))+LEN(INDEX(#REF!,$A623-1))+LEN(INDEX(#REF!,$A623-1))+LEN(INDEX(#REF!,$A623-1))=0),$B$127,""),"")</calculatedColumnFormula>
    </tableColumn>
    <tableColumn id="4" xr3:uid="{00000000-0010-0000-1400-000004000000}" name="No type co-funding" dataDxfId="15">
      <calculatedColumnFormula>IF(AND(INDEX(#REF!,$A623)&gt;0,LEN(INDEX(#REF!,$A623))=0,cofunding_inkind_def_rates="yes"),$B$183,"")</calculatedColumnFormula>
    </tableColumn>
    <tableColumn id="5" xr3:uid="{00000000-0010-0000-1400-000005000000}" name="No rate type" dataDxfId="14">
      <calculatedColumnFormula>IF(AND(INDEX(#REF!,$A623)&gt;0,LEN(INDEX(#REF!,$A623))=0,cofunding_inkind_def_rates="yes"),$B$183,"")</calculatedColumnFormula>
    </tableColumn>
    <tableColumn id="8" xr3:uid="{00000000-0010-0000-1400-000008000000}" name="Exceeding rate" dataDxfId="13">
      <calculatedColumnFormula>IF(AND(INDEX(#REF!,$A623)="Junior",INDEX(#REF!,$A623)&gt;cofunding_junior_rate),$B$186,IF(AND(INDEX(#REF!,$A623)="Senior",INDEX(#REF!,$A623)&gt;cofunding_senior_rate),$B$187,""))</calculatedColumnFormula>
    </tableColumn>
    <tableColumn id="9" xr3:uid="{00000000-0010-0000-1400-000009000000}" name="Type rate given" dataDxfId="12">
      <calculatedColumnFormula>IF(AND(INDEX(#REF!,$A623)="Materials",LEN(INDEX(#REF!,$A623))&gt;0),$B$184,"")</calculatedColumnFormula>
    </tableColumn>
    <tableColumn id="6" xr3:uid="{00000000-0010-0000-1400-000006000000}" name="No organisation type" dataDxfId="11">
      <calculatedColumnFormula>IF(AND(INDEX(#REF!,$A623)&gt;0,LEN(INDEX(#REF!,$A623))=0),$B$175,"")</calculatedColumnFormula>
    </tableColumn>
    <tableColumn id="7" xr3:uid="{00000000-0010-0000-1400-000007000000}" name="No organisation name" dataDxfId="10">
      <calculatedColumnFormula>IF(AND(INDEX(#REF!,$A623)&gt;0,LEN(INDEX(#REF!,$A623))=0),$B$176,"")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.xml"/><Relationship Id="rId3" Type="http://schemas.openxmlformats.org/officeDocument/2006/relationships/printerSettings" Target="../printerSettings/printerSettings3.bin"/><Relationship Id="rId7" Type="http://schemas.openxmlformats.org/officeDocument/2006/relationships/table" Target="../tables/table10.xml"/><Relationship Id="rId2" Type="http://schemas.openxmlformats.org/officeDocument/2006/relationships/hyperlink" Target="https://www.nwo.nl/documents/nwo/beleid/money-follows-cooperation/nwo-country-correction-coefficients-ccc" TargetMode="External"/><Relationship Id="rId1" Type="http://schemas.openxmlformats.org/officeDocument/2006/relationships/hyperlink" Target="https://www.iso.org/iso-3166-country-codes.html" TargetMode="External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10" Type="http://schemas.openxmlformats.org/officeDocument/2006/relationships/table" Target="../tables/table13.xml"/><Relationship Id="rId4" Type="http://schemas.openxmlformats.org/officeDocument/2006/relationships/table" Target="../tables/table7.xml"/><Relationship Id="rId9" Type="http://schemas.openxmlformats.org/officeDocument/2006/relationships/table" Target="../tables/table1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0.xml"/><Relationship Id="rId3" Type="http://schemas.openxmlformats.org/officeDocument/2006/relationships/table" Target="../tables/table15.xml"/><Relationship Id="rId7" Type="http://schemas.openxmlformats.org/officeDocument/2006/relationships/table" Target="../tables/table19.xml"/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Relationship Id="rId9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N64"/>
  <sheetViews>
    <sheetView showGridLines="0" zoomScale="115" zoomScaleNormal="115" workbookViewId="0">
      <selection activeCell="I57" sqref="I57"/>
    </sheetView>
  </sheetViews>
  <sheetFormatPr defaultColWidth="0" defaultRowHeight="14.5" zeroHeight="1" x14ac:dyDescent="0.35"/>
  <cols>
    <col min="1" max="1" width="29.81640625" style="99" customWidth="1"/>
    <col min="2" max="2" width="11.81640625" style="99" customWidth="1"/>
    <col min="3" max="3" width="11.26953125" style="99" customWidth="1"/>
    <col min="4" max="4" width="11.453125" style="99" customWidth="1"/>
    <col min="5" max="8" width="9.1796875" style="99" customWidth="1"/>
    <col min="9" max="9" width="24" style="99" customWidth="1"/>
    <col min="10" max="10" width="11.1796875" style="99" customWidth="1"/>
    <col min="11" max="14" width="9.1796875" style="99" customWidth="1"/>
    <col min="15" max="16384" width="9.1796875" style="99" hidden="1"/>
  </cols>
  <sheetData>
    <row r="1" spans="1:10" ht="18.5" x14ac:dyDescent="0.45">
      <c r="A1" s="144" t="s">
        <v>823</v>
      </c>
      <c r="D1" s="100"/>
      <c r="G1" s="100"/>
    </row>
    <row r="2" spans="1:10" x14ac:dyDescent="0.35">
      <c r="A2" s="145" t="s">
        <v>644</v>
      </c>
      <c r="B2" s="263" t="str">
        <f>callnaam</f>
        <v>KIN Pact netwerksubsidie 2026</v>
      </c>
      <c r="C2" s="264"/>
      <c r="D2" s="100"/>
      <c r="G2" s="100"/>
    </row>
    <row r="3" spans="1:10" x14ac:dyDescent="0.35">
      <c r="A3" s="146" t="s">
        <v>604</v>
      </c>
      <c r="B3" s="265">
        <f>VSNU_rates</f>
        <v>45474</v>
      </c>
      <c r="C3" s="266"/>
      <c r="D3" s="100"/>
      <c r="G3" s="100"/>
    </row>
    <row r="4" spans="1:10" x14ac:dyDescent="0.35">
      <c r="A4" s="146" t="s">
        <v>605</v>
      </c>
      <c r="B4" s="265">
        <f>NFU_rates</f>
        <v>45413</v>
      </c>
      <c r="C4" s="266"/>
      <c r="D4" s="100"/>
      <c r="E4" s="101"/>
      <c r="F4" s="102"/>
      <c r="G4" s="100"/>
    </row>
    <row r="5" spans="1:10" x14ac:dyDescent="0.35">
      <c r="A5" s="146" t="s">
        <v>606</v>
      </c>
      <c r="B5" s="267">
        <f>HOT_rates</f>
        <v>2026</v>
      </c>
      <c r="C5" s="268"/>
      <c r="D5" s="100"/>
      <c r="E5" s="101"/>
      <c r="F5" s="102"/>
      <c r="G5" s="100"/>
    </row>
    <row r="6" spans="1:10" x14ac:dyDescent="0.35">
      <c r="A6" s="146" t="s">
        <v>1</v>
      </c>
      <c r="B6" s="267" t="str">
        <f>IF(ISBLANK(File_number),"-",File_number)</f>
        <v>-</v>
      </c>
      <c r="C6" s="268"/>
      <c r="D6" s="100"/>
      <c r="E6" s="101"/>
      <c r="F6" s="102"/>
      <c r="G6" s="100"/>
    </row>
    <row r="7" spans="1:10" x14ac:dyDescent="0.35">
      <c r="A7" s="146" t="s">
        <v>645</v>
      </c>
      <c r="B7" s="261" t="str">
        <f>cash_invoice</f>
        <v>knowledge institute</v>
      </c>
      <c r="C7" s="262"/>
      <c r="D7" s="100"/>
      <c r="E7" s="101"/>
      <c r="F7" s="102"/>
      <c r="G7" s="100"/>
    </row>
    <row r="8" spans="1:10" x14ac:dyDescent="0.35">
      <c r="A8" s="103"/>
      <c r="B8" s="100"/>
      <c r="C8" s="100"/>
      <c r="D8" s="100"/>
      <c r="E8" s="100"/>
      <c r="F8" s="100"/>
      <c r="G8" s="100"/>
    </row>
    <row r="9" spans="1:10" ht="18.5" x14ac:dyDescent="0.45">
      <c r="A9" s="144" t="s">
        <v>646</v>
      </c>
      <c r="B9" s="100"/>
      <c r="C9" s="100"/>
      <c r="D9" s="100"/>
      <c r="E9" s="100"/>
      <c r="F9" s="100"/>
      <c r="G9" s="100"/>
    </row>
    <row r="10" spans="1:10" ht="15" thickBot="1" x14ac:dyDescent="0.4">
      <c r="A10" s="178" t="s">
        <v>647</v>
      </c>
      <c r="B10" s="179" t="s">
        <v>11</v>
      </c>
      <c r="C10"/>
      <c r="D10"/>
      <c r="E10"/>
      <c r="F10"/>
      <c r="G10"/>
      <c r="H10"/>
      <c r="I10"/>
      <c r="J10" s="147"/>
    </row>
    <row r="11" spans="1:10" x14ac:dyDescent="0.35">
      <c r="A11" s="148" t="s">
        <v>648</v>
      </c>
      <c r="B11" s="149">
        <f>Total_personnel_costs</f>
        <v>0</v>
      </c>
      <c r="C11"/>
      <c r="D11"/>
      <c r="E11"/>
      <c r="F11"/>
      <c r="G11"/>
      <c r="H11"/>
      <c r="I11"/>
    </row>
    <row r="12" spans="1:10" x14ac:dyDescent="0.35">
      <c r="A12" s="150" t="s">
        <v>649</v>
      </c>
      <c r="B12" s="151">
        <f>Total_personnel_ac_institutes+Total_benchfee</f>
        <v>0</v>
      </c>
      <c r="C12"/>
      <c r="D12"/>
      <c r="E12"/>
      <c r="F12"/>
      <c r="G12"/>
      <c r="H12"/>
      <c r="I12"/>
    </row>
    <row r="13" spans="1:10" x14ac:dyDescent="0.35">
      <c r="A13" s="150" t="s">
        <v>607</v>
      </c>
      <c r="B13" s="151">
        <f>Total_personnel_other+pers_other_inst_2021[[#Totals],[Amount]]</f>
        <v>0</v>
      </c>
      <c r="C13"/>
      <c r="D13"/>
      <c r="E13"/>
      <c r="F13"/>
      <c r="G13"/>
      <c r="H13"/>
      <c r="I13"/>
    </row>
    <row r="14" spans="1:10" ht="15.5" x14ac:dyDescent="0.35">
      <c r="A14" s="152" t="s">
        <v>608</v>
      </c>
      <c r="B14" s="153">
        <f>Total_material_costs</f>
        <v>0</v>
      </c>
      <c r="C14"/>
      <c r="D14"/>
      <c r="E14"/>
      <c r="F14"/>
      <c r="G14"/>
      <c r="H14"/>
      <c r="I14"/>
      <c r="J14" s="104"/>
    </row>
    <row r="15" spans="1:10" ht="15.5" x14ac:dyDescent="0.35">
      <c r="A15" s="152" t="s">
        <v>650</v>
      </c>
      <c r="B15" s="153">
        <f>Total_investments+Total_invest_by_KI</f>
        <v>0</v>
      </c>
      <c r="C15"/>
      <c r="D15"/>
      <c r="E15"/>
      <c r="F15"/>
      <c r="G15"/>
      <c r="H15"/>
      <c r="I15"/>
      <c r="J15" s="104"/>
    </row>
    <row r="16" spans="1:10" ht="15.5" x14ac:dyDescent="0.35">
      <c r="A16" s="152" t="s">
        <v>811</v>
      </c>
      <c r="B16" s="153">
        <f>Total_KU_and_entrepeneurship</f>
        <v>0</v>
      </c>
      <c r="C16"/>
      <c r="D16"/>
      <c r="E16"/>
      <c r="F16"/>
      <c r="G16"/>
      <c r="H16"/>
      <c r="I16"/>
      <c r="J16" s="104"/>
    </row>
    <row r="17" spans="1:10" ht="15.5" x14ac:dyDescent="0.35">
      <c r="A17" s="152" t="s">
        <v>809</v>
      </c>
      <c r="B17" s="153">
        <f>Total_internationalisation</f>
        <v>0</v>
      </c>
      <c r="C17"/>
      <c r="D17"/>
      <c r="E17"/>
      <c r="F17"/>
      <c r="G17"/>
      <c r="H17"/>
      <c r="I17"/>
      <c r="J17" s="104"/>
    </row>
    <row r="18" spans="1:10" ht="15.5" x14ac:dyDescent="0.35">
      <c r="A18" s="152" t="s">
        <v>810</v>
      </c>
      <c r="B18" s="153">
        <f>Total_MfC</f>
        <v>0</v>
      </c>
      <c r="C18"/>
      <c r="D18"/>
      <c r="E18"/>
      <c r="F18"/>
      <c r="G18"/>
      <c r="H18"/>
      <c r="I18"/>
      <c r="J18" s="104"/>
    </row>
    <row r="19" spans="1:10" ht="15.5" x14ac:dyDescent="0.35">
      <c r="A19" s="152" t="s">
        <v>609</v>
      </c>
      <c r="B19" s="153">
        <f>Total_project_mngmnt</f>
        <v>0</v>
      </c>
      <c r="C19"/>
      <c r="D19"/>
      <c r="E19"/>
      <c r="F19"/>
      <c r="G19"/>
      <c r="H19"/>
      <c r="I19"/>
      <c r="J19" s="104"/>
    </row>
    <row r="20" spans="1:10" ht="15" customHeight="1" x14ac:dyDescent="0.35">
      <c r="A20" s="154" t="s">
        <v>651</v>
      </c>
      <c r="B20" s="155">
        <f>Total_personnel_costs+Total_material_costs+Total_investments+Total_KU_and_entrepeneurship+Total_internationalisation+Total_MfC+Total_project_mngmnt</f>
        <v>0</v>
      </c>
      <c r="C20"/>
      <c r="D20"/>
      <c r="E20"/>
      <c r="F20"/>
      <c r="G20"/>
      <c r="H20"/>
      <c r="I20"/>
      <c r="J20" s="104"/>
    </row>
    <row r="21" spans="1:10" ht="15.5" x14ac:dyDescent="0.35">
      <c r="A21" s="104"/>
      <c r="B21" s="107"/>
      <c r="C21"/>
      <c r="D21" s="107"/>
      <c r="E21" s="107"/>
      <c r="F21" s="107"/>
      <c r="G21" s="107"/>
      <c r="H21" s="107"/>
      <c r="I21" s="107"/>
      <c r="J21" s="104"/>
    </row>
    <row r="22" spans="1:10" ht="18.5" x14ac:dyDescent="0.45">
      <c r="A22" s="177" t="s">
        <v>652</v>
      </c>
      <c r="B22" s="107"/>
      <c r="C22"/>
      <c r="D22" s="107"/>
      <c r="E22" s="107"/>
      <c r="F22" s="107"/>
      <c r="G22" s="107"/>
      <c r="H22" s="107"/>
      <c r="I22" s="107"/>
      <c r="J22" s="104"/>
    </row>
    <row r="23" spans="1:10" ht="15.5" x14ac:dyDescent="0.35">
      <c r="A23" s="156" t="s">
        <v>667</v>
      </c>
      <c r="B23" s="157" t="s">
        <v>11</v>
      </c>
      <c r="C23" s="158" t="s">
        <v>653</v>
      </c>
      <c r="D23" s="157" t="s">
        <v>654</v>
      </c>
      <c r="E23" s="159"/>
      <c r="F23" s="107"/>
      <c r="G23" s="107"/>
      <c r="H23" s="107"/>
      <c r="I23" s="107"/>
      <c r="J23" s="104"/>
    </row>
    <row r="24" spans="1:10" ht="15.5" x14ac:dyDescent="0.35">
      <c r="A24" s="160" t="s">
        <v>655</v>
      </c>
      <c r="B24" s="161">
        <f>Total_NWO_funding</f>
        <v>0</v>
      </c>
      <c r="C24" s="161">
        <f>Total_NWO_funding</f>
        <v>0</v>
      </c>
      <c r="D24" s="161" t="s">
        <v>656</v>
      </c>
      <c r="E24" s="159"/>
      <c r="F24" s="107"/>
      <c r="G24" s="107"/>
      <c r="H24" s="107"/>
      <c r="I24" s="107"/>
      <c r="J24" s="104"/>
    </row>
    <row r="25" spans="1:10" ht="15.5" x14ac:dyDescent="0.35">
      <c r="A25" s="162" t="s">
        <v>657</v>
      </c>
      <c r="B25" s="163">
        <f>Total_cofunding_inkind</f>
        <v>0</v>
      </c>
      <c r="C25" s="164" t="s">
        <v>656</v>
      </c>
      <c r="D25" s="163" t="s">
        <v>656</v>
      </c>
      <c r="E25" s="159"/>
      <c r="F25" s="107"/>
      <c r="G25" s="107"/>
      <c r="H25" s="107"/>
      <c r="I25" s="107"/>
      <c r="J25" s="104"/>
    </row>
    <row r="26" spans="1:10" ht="15.5" x14ac:dyDescent="0.35">
      <c r="A26" s="162" t="s">
        <v>658</v>
      </c>
      <c r="B26" s="163">
        <f>Total_invest_by_KI</f>
        <v>0</v>
      </c>
      <c r="C26" s="164" t="s">
        <v>656</v>
      </c>
      <c r="D26" s="163">
        <f>Total_invest_by_KI</f>
        <v>0</v>
      </c>
      <c r="E26" s="159"/>
      <c r="F26" s="107"/>
      <c r="G26" s="107"/>
      <c r="H26" s="107"/>
      <c r="I26" s="107"/>
      <c r="J26" s="104"/>
    </row>
    <row r="27" spans="1:10" ht="15.5" x14ac:dyDescent="0.35">
      <c r="A27" s="162" t="s">
        <v>659</v>
      </c>
      <c r="B27" s="163">
        <f>Total_cofunding_incash</f>
        <v>0</v>
      </c>
      <c r="C27" s="161">
        <f>IF(cash_invoice="NWO",Total_cofunding_incash,0)</f>
        <v>0</v>
      </c>
      <c r="D27" s="163">
        <f>Total_cofunding_incash-C27</f>
        <v>0</v>
      </c>
      <c r="E27" s="159"/>
      <c r="F27" s="107"/>
      <c r="G27" s="107"/>
      <c r="H27" s="107"/>
      <c r="I27" s="107"/>
      <c r="J27" s="104"/>
    </row>
    <row r="28" spans="1:10" ht="15.5" x14ac:dyDescent="0.35">
      <c r="A28" s="162" t="s">
        <v>660</v>
      </c>
      <c r="B28" s="163">
        <f>Total_projectfee</f>
        <v>0</v>
      </c>
      <c r="C28" s="161">
        <f>IF(cash_invoice="NWO",Total_projectfee,0)</f>
        <v>0</v>
      </c>
      <c r="D28" s="163">
        <f>Total_projectfee-C28</f>
        <v>0</v>
      </c>
      <c r="E28" s="159"/>
      <c r="F28" s="107"/>
      <c r="G28" s="107"/>
      <c r="H28" s="107"/>
      <c r="I28" s="107"/>
      <c r="J28" s="104"/>
    </row>
    <row r="29" spans="1:10" ht="15.5" x14ac:dyDescent="0.35">
      <c r="A29" s="162" t="s">
        <v>170</v>
      </c>
      <c r="B29" s="163">
        <f>Total_TKI_PPS_allowance</f>
        <v>0</v>
      </c>
      <c r="C29" s="161">
        <f>Total_TKI_PPS_allowance</f>
        <v>0</v>
      </c>
      <c r="D29" s="163">
        <f>Total_TKI_PPS_allowance-C29</f>
        <v>0</v>
      </c>
      <c r="E29" s="159"/>
      <c r="F29" s="107"/>
      <c r="G29" s="107"/>
      <c r="H29" s="107"/>
      <c r="I29" s="107"/>
      <c r="J29" s="104"/>
    </row>
    <row r="30" spans="1:10" ht="15.5" x14ac:dyDescent="0.35">
      <c r="A30" s="165" t="s">
        <v>661</v>
      </c>
      <c r="B30" s="166">
        <f>Total_invest_by_KI+Total_incash_cofunding+Total_projectfee+Total_TKI_PPS_allowance</f>
        <v>0</v>
      </c>
      <c r="C30" s="167">
        <f>SUM(C26:C28)</f>
        <v>0</v>
      </c>
      <c r="D30" s="166">
        <f>SUM(D25:D28)</f>
        <v>0</v>
      </c>
      <c r="E30" s="159"/>
      <c r="F30" s="107"/>
      <c r="G30" s="107"/>
      <c r="H30" s="107"/>
      <c r="I30" s="107"/>
      <c r="J30" s="104"/>
    </row>
    <row r="31" spans="1:10" ht="15.5" x14ac:dyDescent="0.35">
      <c r="A31" s="168" t="s">
        <v>662</v>
      </c>
      <c r="B31" s="169">
        <f>SUM(B24:B29)</f>
        <v>0</v>
      </c>
      <c r="C31" s="170">
        <f>SUM(C24:C29)</f>
        <v>0</v>
      </c>
      <c r="D31" s="169">
        <f>SUM(D24:D29)</f>
        <v>0</v>
      </c>
      <c r="E31" s="159"/>
      <c r="F31" s="107"/>
      <c r="G31" s="107"/>
      <c r="H31" s="107"/>
      <c r="I31" s="107"/>
      <c r="J31" s="104"/>
    </row>
    <row r="32" spans="1:10" ht="15.5" x14ac:dyDescent="0.35">
      <c r="E32" s="159"/>
      <c r="F32" s="107"/>
      <c r="G32" s="107"/>
      <c r="H32" s="107"/>
      <c r="I32" s="107"/>
      <c r="J32" s="104"/>
    </row>
    <row r="33" spans="1:10" ht="15.5" x14ac:dyDescent="0.35">
      <c r="A33" s="171" t="s">
        <v>663</v>
      </c>
      <c r="B33" s="172">
        <f>Total_resources+Total_cofunding_inkind</f>
        <v>0</v>
      </c>
      <c r="C33" s="173"/>
      <c r="D33" s="159"/>
      <c r="E33" s="159"/>
      <c r="F33" s="107"/>
      <c r="G33" s="107"/>
      <c r="H33" s="107"/>
      <c r="I33" s="107"/>
      <c r="J33" s="104"/>
    </row>
    <row r="34" spans="1:10" ht="15.5" x14ac:dyDescent="0.35">
      <c r="A34" s="171" t="s">
        <v>664</v>
      </c>
      <c r="B34" s="172">
        <f>Total_NWO_funding</f>
        <v>0</v>
      </c>
      <c r="C34" s="173"/>
      <c r="D34" s="159"/>
      <c r="E34" s="159"/>
      <c r="F34" s="107"/>
      <c r="G34" s="107"/>
      <c r="H34" s="107"/>
      <c r="I34" s="107"/>
      <c r="J34" s="104"/>
    </row>
    <row r="35" spans="1:10" ht="15.5" x14ac:dyDescent="0.35">
      <c r="A35" s="171" t="s">
        <v>665</v>
      </c>
      <c r="B35" s="172">
        <f>Total_cash_via_NWO</f>
        <v>0</v>
      </c>
      <c r="C35" s="173"/>
      <c r="D35" s="159"/>
      <c r="E35" s="159"/>
      <c r="F35" s="107"/>
      <c r="G35" s="107"/>
      <c r="H35" s="107"/>
      <c r="I35" s="107"/>
      <c r="J35" s="104"/>
    </row>
    <row r="36" spans="1:10" ht="15.5" x14ac:dyDescent="0.35">
      <c r="A36" s="104"/>
      <c r="B36" s="107"/>
      <c r="C36"/>
      <c r="D36" s="107"/>
      <c r="E36" s="107"/>
      <c r="F36" s="107"/>
      <c r="G36" s="107"/>
      <c r="H36" s="107"/>
      <c r="I36" s="107"/>
      <c r="J36" s="104"/>
    </row>
    <row r="37" spans="1:10" ht="18.5" x14ac:dyDescent="0.45">
      <c r="A37" s="144" t="s">
        <v>760</v>
      </c>
      <c r="B37" s="107"/>
      <c r="C37"/>
      <c r="E37" s="107"/>
      <c r="F37" s="107"/>
      <c r="G37" s="220">
        <f>IFERROR(MATCH("Co-funding",Budget!A1:A8086,0),999)</f>
        <v>999</v>
      </c>
      <c r="H37" s="107"/>
      <c r="I37" s="174" t="s">
        <v>666</v>
      </c>
      <c r="J37" s="104"/>
    </row>
    <row r="38" spans="1:10" ht="14.25" customHeight="1" x14ac:dyDescent="0.35">
      <c r="A38" s="173" t="s">
        <v>52</v>
      </c>
      <c r="B38" s="173" t="s">
        <v>11</v>
      </c>
      <c r="C38"/>
      <c r="D38" s="107"/>
      <c r="E38" s="107"/>
      <c r="F38" s="107"/>
      <c r="G38" s="107"/>
      <c r="H38" s="107"/>
      <c r="I38" s="176" t="s">
        <v>52</v>
      </c>
      <c r="J38" s="176" t="s">
        <v>11</v>
      </c>
    </row>
    <row r="39" spans="1:10" ht="15.5" x14ac:dyDescent="0.35">
      <c r="A39" s="1" t="s">
        <v>18</v>
      </c>
      <c r="B39" s="175">
        <f t="shared" ref="B39:B57" ca="1" si="0">SUMIF(INDIRECT("Budget!F1:F"&amp;row_cofunding),A39,INDIRECT("Budget!H1:H"&amp;row_cofunding))</f>
        <v>0</v>
      </c>
      <c r="C39"/>
      <c r="D39" s="107"/>
      <c r="E39" s="107"/>
      <c r="F39" s="107"/>
      <c r="G39" s="107"/>
      <c r="H39" s="107"/>
      <c r="I39" s="1" t="s">
        <v>825</v>
      </c>
      <c r="J39" s="175">
        <f t="shared" ref="J39:J56" ca="1" si="1">IFERROR(SUMIF(INDIRECT("Budget!F"&amp;row_cofunding&amp;":F9999"),I39,INDIRECT("Budget!H"&amp;row_cofunding&amp;":H99999")),"-")</f>
        <v>0</v>
      </c>
    </row>
    <row r="40" spans="1:10" x14ac:dyDescent="0.35">
      <c r="A40" s="1" t="s">
        <v>24</v>
      </c>
      <c r="B40" s="175">
        <f t="shared" ca="1" si="0"/>
        <v>0</v>
      </c>
      <c r="C40"/>
      <c r="D40" s="105"/>
      <c r="E40" s="106" t="s">
        <v>166</v>
      </c>
      <c r="F40" s="100"/>
      <c r="G40" s="100"/>
      <c r="I40" s="1" t="s">
        <v>824</v>
      </c>
      <c r="J40" s="234">
        <f ca="1">IFERROR(SUMIF(INDIRECT("Budget!F"&amp;row_cofunding&amp;":F9999"),I40,INDIRECT("Budget!H"&amp;row_cofunding&amp;":H99999")),"-")</f>
        <v>0</v>
      </c>
    </row>
    <row r="41" spans="1:10" ht="15.5" x14ac:dyDescent="0.35">
      <c r="A41" s="1" t="s">
        <v>51</v>
      </c>
      <c r="B41" s="175">
        <f t="shared" ca="1" si="0"/>
        <v>0</v>
      </c>
      <c r="C41"/>
      <c r="D41" s="107"/>
      <c r="E41" s="100"/>
      <c r="F41" s="100" t="s">
        <v>166</v>
      </c>
      <c r="G41" s="100"/>
      <c r="I41" s="1" t="s">
        <v>28</v>
      </c>
      <c r="J41" s="175">
        <f t="shared" ca="1" si="1"/>
        <v>0</v>
      </c>
    </row>
    <row r="42" spans="1:10" ht="15.5" x14ac:dyDescent="0.35">
      <c r="A42" s="1" t="s">
        <v>50</v>
      </c>
      <c r="B42" s="175">
        <f t="shared" ca="1" si="0"/>
        <v>0</v>
      </c>
      <c r="C42"/>
      <c r="D42" s="107"/>
      <c r="E42" s="100"/>
      <c r="F42" s="100"/>
      <c r="G42" s="100"/>
      <c r="I42" s="1" t="s">
        <v>58</v>
      </c>
      <c r="J42" s="175">
        <f t="shared" ca="1" si="1"/>
        <v>0</v>
      </c>
    </row>
    <row r="43" spans="1:10" x14ac:dyDescent="0.35">
      <c r="A43" s="1" t="s">
        <v>53</v>
      </c>
      <c r="B43" s="175">
        <f t="shared" ca="1" si="0"/>
        <v>0</v>
      </c>
      <c r="C43"/>
      <c r="D43" s="105"/>
      <c r="E43" s="100"/>
      <c r="F43" s="100"/>
      <c r="G43" s="100"/>
      <c r="I43" s="1" t="s">
        <v>29</v>
      </c>
      <c r="J43" s="175">
        <f t="shared" ca="1" si="1"/>
        <v>0</v>
      </c>
    </row>
    <row r="44" spans="1:10" ht="15.5" x14ac:dyDescent="0.35">
      <c r="A44" s="1" t="s">
        <v>21</v>
      </c>
      <c r="B44" s="175">
        <f t="shared" ca="1" si="0"/>
        <v>0</v>
      </c>
      <c r="C44"/>
      <c r="D44" s="108"/>
      <c r="E44" s="100"/>
      <c r="F44" s="100"/>
      <c r="G44" s="100"/>
      <c r="I44" s="1" t="s">
        <v>30</v>
      </c>
      <c r="J44" s="175">
        <f t="shared" ca="1" si="1"/>
        <v>0</v>
      </c>
    </row>
    <row r="45" spans="1:10" x14ac:dyDescent="0.35">
      <c r="A45" s="1" t="s">
        <v>22</v>
      </c>
      <c r="B45" s="175">
        <f t="shared" ca="1" si="0"/>
        <v>0</v>
      </c>
      <c r="C45"/>
      <c r="D45" s="100"/>
      <c r="E45" s="100"/>
      <c r="F45" s="100"/>
      <c r="G45" s="100"/>
      <c r="I45" s="1" t="s">
        <v>827</v>
      </c>
      <c r="J45" s="234">
        <f ca="1">IFERROR(SUMIF(INDIRECT("Budget!F"&amp;row_cofunding&amp;":F9999"),I45,INDIRECT("Budget!H"&amp;row_cofunding&amp;":H99999")),"-")</f>
        <v>0</v>
      </c>
    </row>
    <row r="46" spans="1:10" x14ac:dyDescent="0.35">
      <c r="A46" s="1" t="s">
        <v>26</v>
      </c>
      <c r="B46" s="175">
        <f t="shared" ca="1" si="0"/>
        <v>0</v>
      </c>
      <c r="C46"/>
      <c r="D46" s="100"/>
      <c r="E46" s="100" t="s">
        <v>166</v>
      </c>
      <c r="F46" s="100"/>
      <c r="G46" s="100"/>
      <c r="I46" s="1" t="s">
        <v>826</v>
      </c>
      <c r="J46" s="175">
        <f t="shared" ca="1" si="1"/>
        <v>0</v>
      </c>
    </row>
    <row r="47" spans="1:10" x14ac:dyDescent="0.35">
      <c r="A47" s="1" t="s">
        <v>27</v>
      </c>
      <c r="B47" s="175">
        <f t="shared" ca="1" si="0"/>
        <v>0</v>
      </c>
      <c r="C47"/>
      <c r="D47" s="100"/>
      <c r="E47" s="100"/>
      <c r="F47" s="100"/>
      <c r="G47" s="100"/>
      <c r="I47" s="1" t="s">
        <v>59</v>
      </c>
      <c r="J47" s="175">
        <f t="shared" ca="1" si="1"/>
        <v>0</v>
      </c>
    </row>
    <row r="48" spans="1:10" x14ac:dyDescent="0.35">
      <c r="A48" s="1" t="s">
        <v>19</v>
      </c>
      <c r="B48" s="175">
        <f t="shared" ca="1" si="0"/>
        <v>0</v>
      </c>
      <c r="C48"/>
      <c r="D48" s="100"/>
      <c r="E48" s="100"/>
      <c r="F48" s="100"/>
      <c r="G48" s="100"/>
      <c r="I48" s="1" t="s">
        <v>829</v>
      </c>
      <c r="J48" s="234">
        <f ca="1">IFERROR(SUMIF(INDIRECT("Budget!F"&amp;row_cofunding&amp;":F9999"),I48,INDIRECT("Budget!H"&amp;row_cofunding&amp;":H99999")),"-")</f>
        <v>0</v>
      </c>
    </row>
    <row r="49" spans="1:10" x14ac:dyDescent="0.35">
      <c r="A49" s="1" t="s">
        <v>25</v>
      </c>
      <c r="B49" s="175">
        <f t="shared" ca="1" si="0"/>
        <v>0</v>
      </c>
      <c r="C49"/>
      <c r="I49" s="1" t="s">
        <v>828</v>
      </c>
      <c r="J49" s="175">
        <f t="shared" ca="1" si="1"/>
        <v>0</v>
      </c>
    </row>
    <row r="50" spans="1:10" x14ac:dyDescent="0.35">
      <c r="A50" s="1" t="s">
        <v>23</v>
      </c>
      <c r="B50" s="175">
        <f t="shared" ca="1" si="0"/>
        <v>0</v>
      </c>
      <c r="C50"/>
      <c r="I50" s="1" t="s">
        <v>31</v>
      </c>
      <c r="J50" s="175">
        <f t="shared" ca="1" si="1"/>
        <v>0</v>
      </c>
    </row>
    <row r="51" spans="1:10" x14ac:dyDescent="0.35">
      <c r="A51" s="1" t="s">
        <v>54</v>
      </c>
      <c r="B51" s="175">
        <f t="shared" ca="1" si="0"/>
        <v>0</v>
      </c>
      <c r="C51"/>
      <c r="I51" s="1" t="s">
        <v>55</v>
      </c>
      <c r="J51" s="175">
        <f t="shared" ca="1" si="1"/>
        <v>0</v>
      </c>
    </row>
    <row r="52" spans="1:10" x14ac:dyDescent="0.35">
      <c r="A52" s="1" t="s">
        <v>55</v>
      </c>
      <c r="B52" s="175">
        <f t="shared" ca="1" si="0"/>
        <v>0</v>
      </c>
      <c r="C52"/>
      <c r="I52" s="1" t="s">
        <v>56</v>
      </c>
      <c r="J52" s="175">
        <f t="shared" ca="1" si="1"/>
        <v>0</v>
      </c>
    </row>
    <row r="53" spans="1:10" x14ac:dyDescent="0.35">
      <c r="A53" s="1" t="s">
        <v>56</v>
      </c>
      <c r="B53" s="175">
        <f t="shared" ca="1" si="0"/>
        <v>0</v>
      </c>
      <c r="C53"/>
      <c r="I53" s="1" t="s">
        <v>54</v>
      </c>
      <c r="J53" s="175">
        <f t="shared" ca="1" si="1"/>
        <v>0</v>
      </c>
    </row>
    <row r="54" spans="1:10" x14ac:dyDescent="0.35">
      <c r="A54" s="1" t="s">
        <v>57</v>
      </c>
      <c r="B54" s="175">
        <f t="shared" ca="1" si="0"/>
        <v>0</v>
      </c>
      <c r="C54"/>
      <c r="I54" s="1" t="s">
        <v>21</v>
      </c>
      <c r="J54" s="175">
        <f t="shared" ca="1" si="1"/>
        <v>0</v>
      </c>
    </row>
    <row r="55" spans="1:10" x14ac:dyDescent="0.35">
      <c r="A55" s="1" t="s">
        <v>32</v>
      </c>
      <c r="B55" s="175">
        <f t="shared" ca="1" si="0"/>
        <v>0</v>
      </c>
      <c r="C55"/>
      <c r="I55" s="1" t="s">
        <v>832</v>
      </c>
      <c r="J55" s="234">
        <f ca="1">IFERROR(SUMIF(INDIRECT("Budget!F"&amp;row_cofunding&amp;":F9999"),I55,INDIRECT("Budget!H"&amp;row_cofunding&amp;":H99999")),"-")</f>
        <v>0</v>
      </c>
    </row>
    <row r="56" spans="1:10" x14ac:dyDescent="0.35">
      <c r="A56" s="1" t="s">
        <v>33</v>
      </c>
      <c r="B56" s="175">
        <f t="shared" ca="1" si="0"/>
        <v>0</v>
      </c>
      <c r="C56"/>
      <c r="I56" s="1" t="s">
        <v>833</v>
      </c>
      <c r="J56" s="175">
        <f t="shared" ca="1" si="1"/>
        <v>0</v>
      </c>
    </row>
    <row r="57" spans="1:10" x14ac:dyDescent="0.35">
      <c r="A57" s="1" t="s">
        <v>20</v>
      </c>
      <c r="B57" s="175">
        <f t="shared" ca="1" si="0"/>
        <v>0</v>
      </c>
      <c r="C57"/>
    </row>
    <row r="58" spans="1:10" x14ac:dyDescent="0.35"/>
    <row r="59" spans="1:10" x14ac:dyDescent="0.35"/>
    <row r="60" spans="1:10" x14ac:dyDescent="0.35"/>
    <row r="61" spans="1:10" x14ac:dyDescent="0.35"/>
    <row r="62" spans="1:10" x14ac:dyDescent="0.35"/>
    <row r="63" spans="1:10" x14ac:dyDescent="0.35"/>
    <row r="64" spans="1:10" x14ac:dyDescent="0.35"/>
  </sheetData>
  <sheetProtection algorithmName="SHA-512" hashValue="cmZf6nxOIMBZZH1D9pW7YoIE3CNPtEkTuJw7nUJLpwLBpxJodB1eJ66bSIgZs0Js/L+XFMAtSNr8jlzjqJh4lQ==" saltValue="DcTUL+CJfZIv25tl5zqjeQ==" spinCount="100000" sheet="1" objects="1" scenarios="1"/>
  <mergeCells count="6">
    <mergeCell ref="B7:C7"/>
    <mergeCell ref="B2:C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A1:L89"/>
  <sheetViews>
    <sheetView showGridLines="0" tabSelected="1" zoomScaleNormal="100" workbookViewId="0">
      <selection activeCell="H18" sqref="H18"/>
    </sheetView>
  </sheetViews>
  <sheetFormatPr defaultColWidth="0" defaultRowHeight="14.5" zeroHeight="1" x14ac:dyDescent="0.35"/>
  <cols>
    <col min="1" max="1" width="42" style="1" customWidth="1"/>
    <col min="2" max="3" width="12.7265625" style="1" customWidth="1"/>
    <col min="4" max="5" width="21.81640625" style="1" customWidth="1"/>
    <col min="6" max="7" width="30.7265625" style="1" customWidth="1"/>
    <col min="8" max="8" width="16.7265625" style="1" customWidth="1"/>
    <col min="9" max="9" width="69.7265625" style="1" customWidth="1"/>
    <col min="10" max="10" width="8.81640625" style="1" hidden="1" customWidth="1"/>
    <col min="11" max="11" width="13.26953125" hidden="1" customWidth="1"/>
    <col min="12" max="12" width="11.453125" hidden="1" customWidth="1"/>
    <col min="13" max="21" width="0" hidden="1" customWidth="1"/>
  </cols>
  <sheetData>
    <row r="1" spans="1:10" ht="82.5" customHeight="1" x14ac:dyDescent="0.35">
      <c r="A1" s="270" t="s">
        <v>844</v>
      </c>
      <c r="B1" s="270"/>
      <c r="C1" s="270"/>
      <c r="D1" s="270"/>
      <c r="E1" s="270"/>
      <c r="F1" s="270"/>
      <c r="G1" s="270"/>
      <c r="H1" s="270"/>
      <c r="I1" s="269" t="s">
        <v>834</v>
      </c>
      <c r="J1" s="2"/>
    </row>
    <row r="2" spans="1:10" ht="15" customHeight="1" x14ac:dyDescent="0.35">
      <c r="A2" s="3" t="s">
        <v>610</v>
      </c>
      <c r="B2" s="97"/>
      <c r="C2" s="290" t="s">
        <v>2</v>
      </c>
      <c r="D2" s="291"/>
      <c r="E2" s="281"/>
      <c r="F2" s="282"/>
      <c r="G2" s="282"/>
      <c r="H2" s="283"/>
      <c r="I2" s="269"/>
      <c r="J2" s="210"/>
    </row>
    <row r="3" spans="1:10" ht="15" customHeight="1" x14ac:dyDescent="0.35">
      <c r="A3" s="3" t="s">
        <v>618</v>
      </c>
      <c r="B3" s="281"/>
      <c r="C3" s="282"/>
      <c r="D3" s="282"/>
      <c r="E3" s="282"/>
      <c r="F3" s="282"/>
      <c r="G3" s="282"/>
      <c r="H3" s="283"/>
      <c r="I3" s="269"/>
      <c r="J3" s="210"/>
    </row>
    <row r="4" spans="1:10" ht="15" customHeight="1" x14ac:dyDescent="0.35">
      <c r="A4" s="3" t="s">
        <v>619</v>
      </c>
      <c r="B4" s="281"/>
      <c r="C4" s="282"/>
      <c r="D4" s="282"/>
      <c r="E4" s="282"/>
      <c r="F4" s="282"/>
      <c r="G4" s="282"/>
      <c r="H4" s="283"/>
      <c r="I4" s="269"/>
      <c r="J4" s="210"/>
    </row>
    <row r="5" spans="1:10" ht="27" customHeight="1" x14ac:dyDescent="0.35">
      <c r="A5" s="16" t="s">
        <v>0</v>
      </c>
      <c r="B5" s="284"/>
      <c r="C5" s="285"/>
      <c r="D5" s="285"/>
      <c r="E5" s="285"/>
      <c r="F5" s="285"/>
      <c r="G5" s="285"/>
      <c r="H5" s="286"/>
      <c r="I5" s="221" t="str">
        <f>IF(AND(Total_NWO_funding&gt;0,Project_title=""),checks!$B$118,"")</f>
        <v/>
      </c>
      <c r="J5" s="210"/>
    </row>
    <row r="6" spans="1:10" ht="12.75" customHeight="1" x14ac:dyDescent="0.35">
      <c r="A6" s="4" t="s">
        <v>835</v>
      </c>
      <c r="B6" s="287"/>
      <c r="C6" s="288"/>
      <c r="D6" s="288"/>
      <c r="E6" s="288"/>
      <c r="F6" s="288"/>
      <c r="G6" s="288"/>
      <c r="H6" s="289"/>
      <c r="I6" s="221"/>
      <c r="J6" s="210"/>
    </row>
    <row r="7" spans="1:10" ht="12.75" customHeight="1" x14ac:dyDescent="0.35">
      <c r="A7" s="4" t="s">
        <v>62</v>
      </c>
      <c r="B7" s="254"/>
      <c r="C7" s="19" t="s">
        <v>63</v>
      </c>
      <c r="D7" s="254"/>
      <c r="E7" s="213"/>
      <c r="F7" s="214"/>
      <c r="G7" s="57"/>
      <c r="I7" s="20" t="str">
        <f ca="1">combined_dates[Combined notes start/end date]</f>
        <v/>
      </c>
    </row>
    <row r="8" spans="1:10" ht="12.75" customHeight="1" x14ac:dyDescent="0.35">
      <c r="A8" s="4" t="s">
        <v>616</v>
      </c>
      <c r="B8" s="98" t="str">
        <f>IF(OR(ISBLANK(startdate),ISBLANK(enddate)),"",ROUND(IF(ISERROR(YEARFRAC(startdate,enddate)*12),"",(YEARFRAC(startdate,enddate,1)*12)),1))</f>
        <v/>
      </c>
      <c r="C8" s="56"/>
      <c r="D8" s="110"/>
      <c r="E8" s="193"/>
      <c r="F8" s="58"/>
      <c r="G8" s="59"/>
      <c r="I8" s="20" t="str">
        <f>IF(AND(LEN(project_duration)&gt;0,project_duration&gt;Max_project_duration),checks!B124,"")</f>
        <v/>
      </c>
    </row>
    <row r="9" spans="1:10" ht="5.15" customHeight="1" x14ac:dyDescent="0.35">
      <c r="A9" s="279"/>
      <c r="B9" s="280"/>
      <c r="C9" s="278"/>
      <c r="D9" s="278"/>
      <c r="E9" s="278"/>
      <c r="F9" s="278"/>
      <c r="G9" s="5"/>
    </row>
    <row r="10" spans="1:10" ht="15.75" customHeight="1" x14ac:dyDescent="0.35">
      <c r="A10" s="190" t="s">
        <v>3</v>
      </c>
      <c r="B10" s="191"/>
      <c r="C10" s="191"/>
      <c r="D10" s="191"/>
      <c r="E10" s="191"/>
      <c r="F10" s="191"/>
      <c r="G10" s="192"/>
      <c r="H10" s="6" t="s">
        <v>4</v>
      </c>
      <c r="I10" s="20"/>
    </row>
    <row r="11" spans="1:10" ht="12.75" customHeight="1" x14ac:dyDescent="0.35">
      <c r="A11" s="183" t="s">
        <v>662</v>
      </c>
      <c r="B11" s="184"/>
      <c r="C11" s="184"/>
      <c r="D11" s="184"/>
      <c r="E11" s="184"/>
      <c r="F11" s="184"/>
      <c r="G11" s="185"/>
      <c r="H11" s="143">
        <f>Total_personnel_costs+Total_material_costs+Total_internationalisation+Total_MfC</f>
        <v>0</v>
      </c>
      <c r="I11" s="215" t="str">
        <f>IF(Total_NWO_funding&gt;Max_NWO_funding,checks!$B$126,IF(AND(Total_NWO_funding&lt;Min_NWO_funding,Total_NWO_funding&lt;&gt;0),checks!$B$125,""))</f>
        <v/>
      </c>
      <c r="J11" s="9"/>
    </row>
    <row r="12" spans="1:10" x14ac:dyDescent="0.35">
      <c r="A12" s="279"/>
      <c r="B12" s="280"/>
      <c r="C12" s="280"/>
      <c r="D12" s="280"/>
      <c r="E12" s="280"/>
      <c r="F12" s="280"/>
      <c r="G12" s="194"/>
      <c r="H12" s="9"/>
      <c r="I12" s="9"/>
      <c r="J12" s="9"/>
    </row>
    <row r="13" spans="1:10" ht="15.5" x14ac:dyDescent="0.35">
      <c r="A13" s="274" t="s">
        <v>5</v>
      </c>
      <c r="B13" s="275"/>
      <c r="C13" s="275"/>
      <c r="D13" s="275"/>
      <c r="E13" s="275"/>
      <c r="F13" s="275"/>
      <c r="G13" s="275"/>
      <c r="H13" s="276"/>
    </row>
    <row r="14" spans="1:10" ht="11.25" customHeight="1" x14ac:dyDescent="0.35">
      <c r="A14" s="211" t="s">
        <v>37</v>
      </c>
      <c r="B14" s="212"/>
      <c r="C14" s="212"/>
      <c r="D14" s="212"/>
      <c r="E14" s="212"/>
      <c r="F14" s="212"/>
      <c r="G14" s="212"/>
      <c r="H14" s="185"/>
      <c r="I14" s="10" t="s">
        <v>812</v>
      </c>
      <c r="J14" s="5"/>
    </row>
    <row r="15" spans="1:10" ht="14.25" customHeight="1" x14ac:dyDescent="0.35">
      <c r="A15" s="27" t="s">
        <v>10</v>
      </c>
      <c r="B15" s="28" t="s">
        <v>719</v>
      </c>
      <c r="C15" s="28" t="s">
        <v>720</v>
      </c>
      <c r="D15" s="28" t="s">
        <v>163</v>
      </c>
      <c r="E15" s="28" t="s">
        <v>36</v>
      </c>
      <c r="F15" s="24" t="s">
        <v>52</v>
      </c>
      <c r="G15" s="28" t="s">
        <v>717</v>
      </c>
      <c r="H15" s="28" t="s">
        <v>11</v>
      </c>
      <c r="I15" s="8"/>
      <c r="J15" s="5"/>
    </row>
    <row r="16" spans="1:10" ht="11.25" customHeight="1" x14ac:dyDescent="0.35">
      <c r="A16" s="36"/>
      <c r="B16" s="250"/>
      <c r="C16" s="91"/>
      <c r="D16" s="12"/>
      <c r="E16" s="91"/>
      <c r="F16" s="195"/>
      <c r="G16" s="38"/>
      <c r="H16" s="25" t="str">
        <f>IF(pers_other_inst_2021[[#This Row],[Hourly rate]]*pers_other_inst_2021[[#This Row],[Total '# hrs]]&gt;0,pers_other_inst_2021[[#This Row],[Hourly rate]]*pers_other_inst_2021[[#This Row],[Total '# hrs]],"")</f>
        <v/>
      </c>
      <c r="I16" s="20" t="str">
        <f>checks!B416</f>
        <v/>
      </c>
      <c r="J16" s="5"/>
    </row>
    <row r="17" spans="1:10" ht="11.25" customHeight="1" x14ac:dyDescent="0.35">
      <c r="A17" s="34" t="s">
        <v>845</v>
      </c>
      <c r="B17" s="251"/>
      <c r="C17" s="92"/>
      <c r="D17" s="13"/>
      <c r="E17" s="92"/>
      <c r="F17" s="196"/>
      <c r="G17" s="33"/>
      <c r="H17" s="26" t="str">
        <f>IF(pers_other_inst_2021[[#This Row],[Hourly rate]]*pers_other_inst_2021[[#This Row],[Total '# hrs]]&gt;0,pers_other_inst_2021[[#This Row],[Hourly rate]]*pers_other_inst_2021[[#This Row],[Total '# hrs]],"")</f>
        <v/>
      </c>
      <c r="I17" s="20" t="str">
        <f>checks!B417</f>
        <v/>
      </c>
      <c r="J17" s="5"/>
    </row>
    <row r="18" spans="1:10" ht="11.25" customHeight="1" x14ac:dyDescent="0.35">
      <c r="A18" s="34" t="s">
        <v>845</v>
      </c>
      <c r="B18" s="251"/>
      <c r="C18" s="201"/>
      <c r="D18" s="29"/>
      <c r="E18" s="92"/>
      <c r="F18" s="198"/>
      <c r="G18" s="197"/>
      <c r="H18" s="65" t="str">
        <f>IF(pers_other_inst_2021[[#This Row],[Hourly rate]]*pers_other_inst_2021[[#This Row],[Total '# hrs]]&gt;0,pers_other_inst_2021[[#This Row],[Hourly rate]]*pers_other_inst_2021[[#This Row],[Total '# hrs]],"")</f>
        <v/>
      </c>
      <c r="I18" s="20" t="str">
        <f>checks!B418</f>
        <v/>
      </c>
      <c r="J18" s="5"/>
    </row>
    <row r="19" spans="1:10" ht="11.25" customHeight="1" x14ac:dyDescent="0.35">
      <c r="A19" s="34" t="s">
        <v>845</v>
      </c>
      <c r="B19" s="251"/>
      <c r="C19" s="201"/>
      <c r="D19" s="29"/>
      <c r="E19" s="92"/>
      <c r="F19" s="196"/>
      <c r="G19" s="197"/>
      <c r="H19" s="65" t="str">
        <f>IF(pers_other_inst_2021[[#This Row],[Hourly rate]]*pers_other_inst_2021[[#This Row],[Total '# hrs]]&gt;0,pers_other_inst_2021[[#This Row],[Hourly rate]]*pers_other_inst_2021[[#This Row],[Total '# hrs]],"")</f>
        <v/>
      </c>
      <c r="I19" s="20" t="str">
        <f>checks!B419</f>
        <v/>
      </c>
      <c r="J19" s="5"/>
    </row>
    <row r="20" spans="1:10" ht="11.25" customHeight="1" x14ac:dyDescent="0.35">
      <c r="A20" s="34"/>
      <c r="B20" s="251"/>
      <c r="C20" s="92"/>
      <c r="D20" s="13"/>
      <c r="E20" s="92"/>
      <c r="F20" s="198"/>
      <c r="G20" s="197"/>
      <c r="H20" s="65"/>
      <c r="I20" s="20" t="str">
        <f>checks!B420</f>
        <v/>
      </c>
      <c r="J20" s="5"/>
    </row>
    <row r="21" spans="1:10" ht="11.25" customHeight="1" x14ac:dyDescent="0.35">
      <c r="A21" s="34"/>
      <c r="B21" s="251"/>
      <c r="C21" s="201"/>
      <c r="D21" s="29"/>
      <c r="E21" s="92"/>
      <c r="F21" s="198"/>
      <c r="G21" s="197"/>
      <c r="H21" s="65" t="str">
        <f>IF(pers_other_inst_2021[[#This Row],[Hourly rate]]*pers_other_inst_2021[[#This Row],[Total '# hrs]]&gt;0,pers_other_inst_2021[[#This Row],[Hourly rate]]*pers_other_inst_2021[[#This Row],[Total '# hrs]],"")</f>
        <v/>
      </c>
      <c r="I21" s="20" t="str">
        <f>checks!B421</f>
        <v/>
      </c>
      <c r="J21" s="5"/>
    </row>
    <row r="22" spans="1:10" ht="11.25" customHeight="1" x14ac:dyDescent="0.35">
      <c r="A22" s="34"/>
      <c r="B22" s="251"/>
      <c r="C22" s="201"/>
      <c r="D22" s="29"/>
      <c r="E22" s="92"/>
      <c r="F22" s="198"/>
      <c r="G22" s="197"/>
      <c r="H22" s="65" t="str">
        <f>IF(pers_other_inst_2021[[#This Row],[Hourly rate]]*pers_other_inst_2021[[#This Row],[Total '# hrs]]&gt;0,pers_other_inst_2021[[#This Row],[Hourly rate]]*pers_other_inst_2021[[#This Row],[Total '# hrs]],"")</f>
        <v/>
      </c>
      <c r="I22" s="20" t="str">
        <f>checks!B422</f>
        <v/>
      </c>
      <c r="J22" s="5"/>
    </row>
    <row r="23" spans="1:10" ht="11.25" customHeight="1" x14ac:dyDescent="0.35">
      <c r="A23" s="34"/>
      <c r="B23" s="251"/>
      <c r="C23" s="92"/>
      <c r="D23" s="13"/>
      <c r="E23" s="92"/>
      <c r="F23" s="198"/>
      <c r="G23" s="197"/>
      <c r="H23" s="65" t="str">
        <f>IF(pers_other_inst_2021[[#This Row],[Hourly rate]]*pers_other_inst_2021[[#This Row],[Total '# hrs]]&gt;0,pers_other_inst_2021[[#This Row],[Hourly rate]]*pers_other_inst_2021[[#This Row],[Total '# hrs]],"")</f>
        <v/>
      </c>
      <c r="I23" s="20" t="str">
        <f>checks!B423</f>
        <v/>
      </c>
      <c r="J23" s="5"/>
    </row>
    <row r="24" spans="1:10" ht="11.25" customHeight="1" x14ac:dyDescent="0.35">
      <c r="A24" s="34"/>
      <c r="B24" s="251"/>
      <c r="C24" s="201"/>
      <c r="D24" s="29"/>
      <c r="E24" s="92"/>
      <c r="F24" s="198"/>
      <c r="G24" s="197"/>
      <c r="H24" s="65" t="str">
        <f>IF(pers_other_inst_2021[[#This Row],[Hourly rate]]*pers_other_inst_2021[[#This Row],[Total '# hrs]]&gt;0,pers_other_inst_2021[[#This Row],[Hourly rate]]*pers_other_inst_2021[[#This Row],[Total '# hrs]],"")</f>
        <v/>
      </c>
      <c r="I24" s="20" t="str">
        <f>checks!B424</f>
        <v/>
      </c>
      <c r="J24" s="5"/>
    </row>
    <row r="25" spans="1:10" ht="11.25" customHeight="1" x14ac:dyDescent="0.35">
      <c r="A25" s="34"/>
      <c r="B25" s="251"/>
      <c r="C25" s="201"/>
      <c r="D25" s="29"/>
      <c r="E25" s="92"/>
      <c r="F25" s="198"/>
      <c r="G25" s="197"/>
      <c r="H25" s="65" t="str">
        <f>IF(pers_other_inst_2021[[#This Row],[Hourly rate]]*pers_other_inst_2021[[#This Row],[Total '# hrs]]&gt;0,pers_other_inst_2021[[#This Row],[Hourly rate]]*pers_other_inst_2021[[#This Row],[Total '# hrs]],"")</f>
        <v/>
      </c>
      <c r="I25" s="20" t="str">
        <f>checks!B425</f>
        <v/>
      </c>
      <c r="J25" s="5"/>
    </row>
    <row r="26" spans="1:10" ht="11.25" customHeight="1" x14ac:dyDescent="0.35">
      <c r="A26" s="34"/>
      <c r="B26" s="251"/>
      <c r="C26" s="92"/>
      <c r="D26" s="13"/>
      <c r="E26" s="92"/>
      <c r="F26" s="198"/>
      <c r="G26" s="197"/>
      <c r="H26" s="65" t="str">
        <f>IF(pers_other_inst_2021[[#This Row],[Hourly rate]]*pers_other_inst_2021[[#This Row],[Total '# hrs]]&gt;0,pers_other_inst_2021[[#This Row],[Hourly rate]]*pers_other_inst_2021[[#This Row],[Total '# hrs]],"")</f>
        <v/>
      </c>
      <c r="I26" s="20" t="str">
        <f>checks!B426</f>
        <v/>
      </c>
      <c r="J26" s="5"/>
    </row>
    <row r="27" spans="1:10" ht="11.25" customHeight="1" x14ac:dyDescent="0.35">
      <c r="A27" s="34"/>
      <c r="B27" s="251"/>
      <c r="C27" s="201"/>
      <c r="D27" s="29"/>
      <c r="E27" s="92"/>
      <c r="F27" s="198"/>
      <c r="G27" s="197"/>
      <c r="H27" s="65" t="str">
        <f>IF(pers_other_inst_2021[[#This Row],[Hourly rate]]*pers_other_inst_2021[[#This Row],[Total '# hrs]]&gt;0,pers_other_inst_2021[[#This Row],[Hourly rate]]*pers_other_inst_2021[[#This Row],[Total '# hrs]],"")</f>
        <v/>
      </c>
      <c r="I27" s="20" t="str">
        <f>checks!B427</f>
        <v/>
      </c>
      <c r="J27" s="5"/>
    </row>
    <row r="28" spans="1:10" ht="11.25" customHeight="1" x14ac:dyDescent="0.35">
      <c r="A28" s="34"/>
      <c r="B28" s="251"/>
      <c r="C28" s="201"/>
      <c r="D28" s="29"/>
      <c r="E28" s="92"/>
      <c r="F28" s="198"/>
      <c r="G28" s="197"/>
      <c r="H28" s="65" t="str">
        <f>IF(pers_other_inst_2021[[#This Row],[Hourly rate]]*pers_other_inst_2021[[#This Row],[Total '# hrs]]&gt;0,pers_other_inst_2021[[#This Row],[Hourly rate]]*pers_other_inst_2021[[#This Row],[Total '# hrs]],"")</f>
        <v/>
      </c>
      <c r="I28" s="20" t="str">
        <f>checks!B428</f>
        <v/>
      </c>
      <c r="J28" s="5"/>
    </row>
    <row r="29" spans="1:10" ht="11.25" customHeight="1" x14ac:dyDescent="0.35">
      <c r="A29" s="34"/>
      <c r="B29" s="251"/>
      <c r="C29" s="92"/>
      <c r="D29" s="13"/>
      <c r="E29" s="92"/>
      <c r="F29" s="198"/>
      <c r="G29" s="197"/>
      <c r="H29" s="65" t="str">
        <f>IF(pers_other_inst_2021[[#This Row],[Hourly rate]]*pers_other_inst_2021[[#This Row],[Total '# hrs]]&gt;0,pers_other_inst_2021[[#This Row],[Hourly rate]]*pers_other_inst_2021[[#This Row],[Total '# hrs]],"")</f>
        <v/>
      </c>
      <c r="I29" s="20" t="str">
        <f>checks!B429</f>
        <v/>
      </c>
      <c r="J29" s="5"/>
    </row>
    <row r="30" spans="1:10" ht="11.25" customHeight="1" x14ac:dyDescent="0.35">
      <c r="A30" s="34"/>
      <c r="B30" s="251"/>
      <c r="C30" s="201"/>
      <c r="D30" s="29"/>
      <c r="E30" s="92"/>
      <c r="F30" s="198"/>
      <c r="G30" s="197"/>
      <c r="H30" s="65" t="str">
        <f>IF(pers_other_inst_2021[[#This Row],[Hourly rate]]*pers_other_inst_2021[[#This Row],[Total '# hrs]]&gt;0,pers_other_inst_2021[[#This Row],[Hourly rate]]*pers_other_inst_2021[[#This Row],[Total '# hrs]],"")</f>
        <v/>
      </c>
      <c r="I30" s="20" t="str">
        <f>checks!B430</f>
        <v/>
      </c>
      <c r="J30" s="5"/>
    </row>
    <row r="31" spans="1:10" ht="11.25" customHeight="1" x14ac:dyDescent="0.35">
      <c r="A31" s="34"/>
      <c r="B31" s="251"/>
      <c r="C31" s="201"/>
      <c r="D31" s="29"/>
      <c r="E31" s="92"/>
      <c r="F31" s="198"/>
      <c r="G31" s="197"/>
      <c r="H31" s="65" t="str">
        <f>IF(pers_other_inst_2021[[#This Row],[Hourly rate]]*pers_other_inst_2021[[#This Row],[Total '# hrs]]&gt;0,pers_other_inst_2021[[#This Row],[Hourly rate]]*pers_other_inst_2021[[#This Row],[Total '# hrs]],"")</f>
        <v/>
      </c>
      <c r="I31" s="20" t="str">
        <f>checks!B431</f>
        <v/>
      </c>
      <c r="J31" s="5"/>
    </row>
    <row r="32" spans="1:10" ht="11.25" customHeight="1" x14ac:dyDescent="0.35">
      <c r="A32" s="34"/>
      <c r="B32" s="251"/>
      <c r="C32" s="92"/>
      <c r="D32" s="13"/>
      <c r="E32" s="92"/>
      <c r="F32" s="198"/>
      <c r="G32" s="197"/>
      <c r="H32" s="65" t="str">
        <f>IF(pers_other_inst_2021[[#This Row],[Hourly rate]]*pers_other_inst_2021[[#This Row],[Total '# hrs]]&gt;0,pers_other_inst_2021[[#This Row],[Hourly rate]]*pers_other_inst_2021[[#This Row],[Total '# hrs]],"")</f>
        <v/>
      </c>
      <c r="I32" s="20" t="str">
        <f>checks!B432</f>
        <v/>
      </c>
      <c r="J32" s="5"/>
    </row>
    <row r="33" spans="1:10" ht="11.25" customHeight="1" x14ac:dyDescent="0.35">
      <c r="A33" s="34"/>
      <c r="B33" s="251"/>
      <c r="C33" s="201"/>
      <c r="D33" s="29"/>
      <c r="E33" s="92"/>
      <c r="F33" s="198"/>
      <c r="G33" s="197"/>
      <c r="H33" s="65" t="str">
        <f>IF(pers_other_inst_2021[[#This Row],[Hourly rate]]*pers_other_inst_2021[[#This Row],[Total '# hrs]]&gt;0,pers_other_inst_2021[[#This Row],[Hourly rate]]*pers_other_inst_2021[[#This Row],[Total '# hrs]],"")</f>
        <v/>
      </c>
      <c r="I33" s="20" t="str">
        <f>checks!B433</f>
        <v/>
      </c>
      <c r="J33" s="5"/>
    </row>
    <row r="34" spans="1:10" ht="11.25" customHeight="1" x14ac:dyDescent="0.35">
      <c r="A34" s="34"/>
      <c r="B34" s="251"/>
      <c r="C34" s="201"/>
      <c r="D34" s="29"/>
      <c r="E34" s="92"/>
      <c r="F34" s="198"/>
      <c r="G34" s="197"/>
      <c r="H34" s="65" t="str">
        <f>IF(pers_other_inst_2021[[#This Row],[Hourly rate]]*pers_other_inst_2021[[#This Row],[Total '# hrs]]&gt;0,pers_other_inst_2021[[#This Row],[Hourly rate]]*pers_other_inst_2021[[#This Row],[Total '# hrs]],"")</f>
        <v/>
      </c>
      <c r="I34" s="20" t="str">
        <f>checks!B434</f>
        <v/>
      </c>
      <c r="J34" s="5"/>
    </row>
    <row r="35" spans="1:10" ht="11.25" customHeight="1" x14ac:dyDescent="0.35">
      <c r="A35" s="34"/>
      <c r="B35" s="251"/>
      <c r="C35" s="92"/>
      <c r="D35" s="13"/>
      <c r="E35" s="92"/>
      <c r="F35" s="198"/>
      <c r="G35" s="197"/>
      <c r="H35" s="65" t="str">
        <f>IF(pers_other_inst_2021[[#This Row],[Hourly rate]]*pers_other_inst_2021[[#This Row],[Total '# hrs]]&gt;0,pers_other_inst_2021[[#This Row],[Hourly rate]]*pers_other_inst_2021[[#This Row],[Total '# hrs]],"")</f>
        <v/>
      </c>
      <c r="I35" s="20" t="str">
        <f>checks!B435</f>
        <v/>
      </c>
      <c r="J35" s="5"/>
    </row>
    <row r="36" spans="1:10" ht="11.25" customHeight="1" x14ac:dyDescent="0.35">
      <c r="A36" s="54"/>
      <c r="B36" s="52"/>
      <c r="C36" s="52"/>
      <c r="D36" s="52"/>
      <c r="E36" s="52"/>
      <c r="F36" s="51"/>
      <c r="G36" s="218" t="s">
        <v>7</v>
      </c>
      <c r="H36" s="7">
        <f>SUM(pers_other_inst_2021[Amount])</f>
        <v>0</v>
      </c>
      <c r="I36" s="20"/>
      <c r="J36" s="5"/>
    </row>
    <row r="37" spans="1:10" ht="12.75" customHeight="1" x14ac:dyDescent="0.35">
      <c r="A37" s="225"/>
      <c r="B37" s="226"/>
      <c r="C37" s="226"/>
      <c r="D37" s="226"/>
      <c r="E37" s="78"/>
      <c r="F37" s="78"/>
      <c r="G37" s="227" t="s">
        <v>6</v>
      </c>
      <c r="H37" s="76">
        <f>Total_personnel_ac_institutes+Total_benchfee+Total_personnel_other+Total_other_inst_2021</f>
        <v>0</v>
      </c>
      <c r="I37" s="5"/>
    </row>
    <row r="38" spans="1:10" ht="11.25" customHeight="1" x14ac:dyDescent="0.35">
      <c r="A38" s="17"/>
      <c r="B38" s="18"/>
      <c r="C38" s="18"/>
      <c r="D38" s="18"/>
      <c r="E38" s="223"/>
      <c r="F38" s="224"/>
      <c r="G38" s="224"/>
      <c r="H38" s="224"/>
    </row>
    <row r="39" spans="1:10" ht="11.25" customHeight="1" x14ac:dyDescent="0.35">
      <c r="A39" s="274" t="s">
        <v>8</v>
      </c>
      <c r="B39" s="275"/>
      <c r="C39" s="275"/>
      <c r="D39" s="275"/>
      <c r="E39" s="275"/>
      <c r="F39" s="275"/>
      <c r="G39" s="275"/>
      <c r="H39" s="276"/>
      <c r="I39" s="5"/>
    </row>
    <row r="40" spans="1:10" ht="11.25" customHeight="1" x14ac:dyDescent="0.35">
      <c r="A40" s="271" t="s">
        <v>9</v>
      </c>
      <c r="B40" s="272"/>
      <c r="C40" s="272"/>
      <c r="D40" s="272"/>
      <c r="E40" s="272"/>
      <c r="F40" s="272"/>
      <c r="G40" s="272"/>
      <c r="H40" s="273"/>
      <c r="I40" s="10"/>
    </row>
    <row r="41" spans="1:10" ht="11.25" customHeight="1" x14ac:dyDescent="0.35">
      <c r="A41" s="41" t="s">
        <v>10</v>
      </c>
      <c r="B41" s="41" t="s">
        <v>166</v>
      </c>
      <c r="C41" s="41" t="s">
        <v>167</v>
      </c>
      <c r="D41" s="41" t="s">
        <v>168</v>
      </c>
      <c r="E41" s="41" t="s">
        <v>725</v>
      </c>
      <c r="F41" s="24" t="s">
        <v>52</v>
      </c>
      <c r="G41" s="24" t="s">
        <v>717</v>
      </c>
      <c r="H41" s="31" t="s">
        <v>11</v>
      </c>
      <c r="I41" s="5"/>
    </row>
    <row r="42" spans="1:10" ht="11.25" customHeight="1" x14ac:dyDescent="0.35">
      <c r="A42" s="202"/>
      <c r="B42" s="96"/>
      <c r="C42" s="96"/>
      <c r="D42" s="96"/>
      <c r="E42" s="203"/>
      <c r="F42" s="204"/>
      <c r="G42" s="202"/>
      <c r="H42" s="61"/>
      <c r="I42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Row],[Description]])&gt;0,LEN(A41)=0),checks!$B$127,"")))</f>
        <v/>
      </c>
    </row>
    <row r="43" spans="1:10" ht="11.25" customHeight="1" x14ac:dyDescent="0.35">
      <c r="A43" s="33"/>
      <c r="B43" s="45"/>
      <c r="C43" s="45"/>
      <c r="D43" s="45"/>
      <c r="E43" s="46"/>
      <c r="F43" s="196"/>
      <c r="G43" s="33"/>
      <c r="H43" s="62"/>
      <c r="I43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Row],[Description]])&gt;0,LEN(A42)=0),checks!$B$127,"")))</f>
        <v/>
      </c>
    </row>
    <row r="44" spans="1:10" ht="11.25" customHeight="1" x14ac:dyDescent="0.35">
      <c r="A44" s="33"/>
      <c r="B44" s="45"/>
      <c r="C44" s="45"/>
      <c r="D44" s="45"/>
      <c r="E44" s="46"/>
      <c r="F44" s="196"/>
      <c r="G44" s="33"/>
      <c r="H44" s="62"/>
      <c r="I44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Row],[Description]])&gt;0,LEN(A43)=0),checks!$B$127,"")))</f>
        <v/>
      </c>
    </row>
    <row r="45" spans="1:10" ht="11.25" customHeight="1" x14ac:dyDescent="0.35">
      <c r="A45" s="33"/>
      <c r="B45" s="45"/>
      <c r="C45" s="45"/>
      <c r="D45" s="45"/>
      <c r="E45" s="46"/>
      <c r="F45" s="196"/>
      <c r="G45" s="33"/>
      <c r="H45" s="62"/>
      <c r="I45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Row],[Description]])&gt;0,LEN(A44)=0),checks!$B$127,"")))</f>
        <v/>
      </c>
    </row>
    <row r="46" spans="1:10" ht="11.25" customHeight="1" x14ac:dyDescent="0.35">
      <c r="A46" s="33"/>
      <c r="B46" s="45"/>
      <c r="C46" s="45"/>
      <c r="D46" s="45"/>
      <c r="E46" s="46"/>
      <c r="F46" s="196"/>
      <c r="G46" s="33"/>
      <c r="H46" s="62"/>
      <c r="I46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Row],[Description]])&gt;0,LEN(A45)=0),checks!$B$127,"")))</f>
        <v/>
      </c>
    </row>
    <row r="47" spans="1:10" ht="11.25" customHeight="1" x14ac:dyDescent="0.35">
      <c r="A47" s="33"/>
      <c r="B47" s="45"/>
      <c r="C47" s="45"/>
      <c r="D47" s="45"/>
      <c r="E47" s="46"/>
      <c r="F47" s="196"/>
      <c r="G47" s="33"/>
      <c r="H47" s="62"/>
      <c r="I47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Row],[Description]])&gt;0,LEN(A46)=0),checks!$B$127,"")))</f>
        <v/>
      </c>
    </row>
    <row r="48" spans="1:10" ht="11.25" customHeight="1" x14ac:dyDescent="0.35">
      <c r="A48" s="33"/>
      <c r="B48" s="45"/>
      <c r="C48" s="45"/>
      <c r="D48" s="45"/>
      <c r="E48" s="46"/>
      <c r="F48" s="196"/>
      <c r="G48" s="33"/>
      <c r="H48" s="62"/>
      <c r="I48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Row],[Description]])&gt;0,LEN(A47)=0),checks!$B$127,"")))</f>
        <v/>
      </c>
    </row>
    <row r="49" spans="1:9" ht="11.25" customHeight="1" x14ac:dyDescent="0.35">
      <c r="A49" s="33"/>
      <c r="B49" s="45"/>
      <c r="C49" s="45"/>
      <c r="D49" s="45"/>
      <c r="E49" s="46"/>
      <c r="F49" s="196"/>
      <c r="G49" s="33"/>
      <c r="H49" s="62"/>
      <c r="I49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Row],[Description]])&gt;0,LEN(A48)=0),checks!$B$127,"")))</f>
        <v/>
      </c>
    </row>
    <row r="50" spans="1:9" ht="11.25" customHeight="1" x14ac:dyDescent="0.35">
      <c r="A50" s="33"/>
      <c r="B50" s="45"/>
      <c r="C50" s="45"/>
      <c r="D50" s="45"/>
      <c r="E50" s="46"/>
      <c r="F50" s="196"/>
      <c r="G50" s="33"/>
      <c r="H50" s="62"/>
      <c r="I50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Row],[Description]])&gt;0,LEN(A49)=0),checks!$B$127,"")))</f>
        <v/>
      </c>
    </row>
    <row r="51" spans="1:9" ht="11.25" customHeight="1" x14ac:dyDescent="0.35">
      <c r="A51" s="33"/>
      <c r="B51" s="45"/>
      <c r="C51" s="45"/>
      <c r="D51" s="45"/>
      <c r="E51" s="46"/>
      <c r="F51" s="196"/>
      <c r="G51" s="33"/>
      <c r="H51" s="62"/>
      <c r="I51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Row],[Description]])&gt;0,LEN(A50)=0),checks!$B$127,"")))</f>
        <v/>
      </c>
    </row>
    <row r="52" spans="1:9" ht="11.25" customHeight="1" x14ac:dyDescent="0.35">
      <c r="A52" s="33"/>
      <c r="B52" s="45"/>
      <c r="C52" s="45"/>
      <c r="D52" s="45"/>
      <c r="E52" s="46"/>
      <c r="F52" s="196"/>
      <c r="G52" s="33"/>
      <c r="H52" s="62"/>
      <c r="I52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Row],[Description]])&gt;0,LEN(A51)=0),checks!$B$127,"")))</f>
        <v/>
      </c>
    </row>
    <row r="53" spans="1:9" ht="11.25" customHeight="1" x14ac:dyDescent="0.35">
      <c r="A53" s="33"/>
      <c r="B53" s="45"/>
      <c r="C53" s="45"/>
      <c r="D53" s="45"/>
      <c r="E53" s="46"/>
      <c r="F53" s="196"/>
      <c r="G53" s="33"/>
      <c r="H53" s="62"/>
      <c r="I53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Row],[Description]])&gt;0,LEN(A52)=0),checks!$B$127,"")))</f>
        <v/>
      </c>
    </row>
    <row r="54" spans="1:9" ht="11.25" customHeight="1" x14ac:dyDescent="0.35">
      <c r="A54" s="33"/>
      <c r="B54" s="45"/>
      <c r="C54" s="45"/>
      <c r="D54" s="45"/>
      <c r="E54" s="46"/>
      <c r="F54" s="196"/>
      <c r="G54" s="33"/>
      <c r="H54" s="62"/>
      <c r="I54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Row],[Description]])&gt;0,LEN(A53)=0),checks!$B$127,"")))</f>
        <v/>
      </c>
    </row>
    <row r="55" spans="1:9" ht="11.25" customHeight="1" x14ac:dyDescent="0.35">
      <c r="A55" s="33"/>
      <c r="B55" s="45"/>
      <c r="C55" s="45"/>
      <c r="D55" s="45"/>
      <c r="E55" s="46"/>
      <c r="F55" s="196"/>
      <c r="G55" s="33"/>
      <c r="H55" s="62"/>
      <c r="I55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Row],[Description]])&gt;0,LEN(A54)=0),checks!$B$127,"")))</f>
        <v/>
      </c>
    </row>
    <row r="56" spans="1:9" ht="11.25" customHeight="1" x14ac:dyDescent="0.35">
      <c r="A56" s="33"/>
      <c r="B56" s="45"/>
      <c r="C56" s="45"/>
      <c r="D56" s="45"/>
      <c r="E56" s="46"/>
      <c r="F56" s="196"/>
      <c r="G56" s="33"/>
      <c r="H56" s="62"/>
      <c r="I56" s="20" t="str">
        <f>IF(AND(goods_services[[#This Row],[Amount]]&gt;0,organisation_type="yes",goods_services[[#This Row],[Organisation type]]=""),checks!$B$146,IF(AND(goods_services[[#This Row],[Amount]]&gt;0,organisation_name="yes",goods_services[[#This Row],[Name organisation]]=""),checks!$B$147,IF(AND(LEN(goods_services[[#This Row],[Description]])&gt;0,LEN(A55)=0),checks!$B$127,"")))</f>
        <v/>
      </c>
    </row>
    <row r="57" spans="1:9" ht="11.25" customHeight="1" x14ac:dyDescent="0.35">
      <c r="A57" s="205"/>
      <c r="B57" s="206"/>
      <c r="C57" s="206"/>
      <c r="D57" s="206"/>
      <c r="E57" s="206"/>
      <c r="F57" s="51"/>
      <c r="G57" s="218" t="s">
        <v>7</v>
      </c>
      <c r="H57" s="7">
        <f>SUM(goods_services[Amount])</f>
        <v>0</v>
      </c>
      <c r="I57" s="20"/>
    </row>
    <row r="58" spans="1:9" ht="11.25" customHeight="1" x14ac:dyDescent="0.35">
      <c r="A58" s="186" t="s">
        <v>12</v>
      </c>
      <c r="B58" s="187"/>
      <c r="C58" s="187"/>
      <c r="D58" s="187"/>
      <c r="E58" s="187"/>
      <c r="F58" s="187"/>
      <c r="G58" s="187"/>
      <c r="H58" s="188"/>
      <c r="I58" s="5"/>
    </row>
    <row r="59" spans="1:9" ht="11.25" customHeight="1" x14ac:dyDescent="0.35">
      <c r="A59" s="39" t="s">
        <v>10</v>
      </c>
      <c r="B59" s="40" t="s">
        <v>166</v>
      </c>
      <c r="C59" s="40" t="s">
        <v>167</v>
      </c>
      <c r="D59" s="40" t="s">
        <v>168</v>
      </c>
      <c r="E59" s="40" t="s">
        <v>725</v>
      </c>
      <c r="F59" s="14" t="s">
        <v>52</v>
      </c>
      <c r="G59" s="24" t="s">
        <v>717</v>
      </c>
      <c r="H59" s="31" t="s">
        <v>11</v>
      </c>
      <c r="I59" s="5"/>
    </row>
    <row r="60" spans="1:9" ht="11.25" customHeight="1" x14ac:dyDescent="0.35">
      <c r="A60" s="38"/>
      <c r="B60" s="44"/>
      <c r="C60" s="44"/>
      <c r="D60" s="44"/>
      <c r="E60" s="44"/>
      <c r="F60" s="30"/>
      <c r="G60" s="207"/>
      <c r="H60" s="61"/>
      <c r="I60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Row],[Description]])&gt;0,LEN(A59)=0),checks!$B$127,"")))</f>
        <v/>
      </c>
    </row>
    <row r="61" spans="1:9" ht="11.25" customHeight="1" x14ac:dyDescent="0.35">
      <c r="A61" s="33"/>
      <c r="B61" s="47"/>
      <c r="C61" s="47"/>
      <c r="D61" s="47"/>
      <c r="E61" s="47"/>
      <c r="F61" s="43"/>
      <c r="G61" s="208"/>
      <c r="H61" s="64"/>
      <c r="I61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Row],[Description]])&gt;0,LEN(A60)=0),checks!$B$127,"")))</f>
        <v/>
      </c>
    </row>
    <row r="62" spans="1:9" ht="11.25" customHeight="1" x14ac:dyDescent="0.35">
      <c r="A62" s="42"/>
      <c r="B62" s="48"/>
      <c r="C62" s="48"/>
      <c r="D62" s="48"/>
      <c r="E62" s="47"/>
      <c r="F62" s="43"/>
      <c r="G62" s="208"/>
      <c r="H62" s="64"/>
      <c r="I62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Row],[Description]])&gt;0,LEN(A61)=0),checks!$B$127,"")))</f>
        <v/>
      </c>
    </row>
    <row r="63" spans="1:9" ht="11.25" customHeight="1" x14ac:dyDescent="0.35">
      <c r="A63" s="42"/>
      <c r="B63" s="48"/>
      <c r="C63" s="48"/>
      <c r="D63" s="48"/>
      <c r="E63" s="47"/>
      <c r="F63" s="43"/>
      <c r="G63" s="208"/>
      <c r="H63" s="64"/>
      <c r="I63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Row],[Description]])&gt;0,LEN(A62)=0),checks!$B$127,"")))</f>
        <v/>
      </c>
    </row>
    <row r="64" spans="1:9" ht="11.25" customHeight="1" x14ac:dyDescent="0.35">
      <c r="A64" s="42"/>
      <c r="B64" s="48"/>
      <c r="C64" s="48"/>
      <c r="D64" s="48"/>
      <c r="E64" s="47"/>
      <c r="F64" s="43"/>
      <c r="G64" s="208"/>
      <c r="H64" s="64"/>
      <c r="I64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Row],[Description]])&gt;0,LEN(A63)=0),checks!$B$127,"")))</f>
        <v/>
      </c>
    </row>
    <row r="65" spans="1:9" ht="11.25" customHeight="1" x14ac:dyDescent="0.35">
      <c r="A65" s="33"/>
      <c r="B65" s="47"/>
      <c r="C65" s="47"/>
      <c r="D65" s="47"/>
      <c r="E65" s="47"/>
      <c r="F65" s="43"/>
      <c r="G65" s="208"/>
      <c r="H65" s="64"/>
      <c r="I65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Row],[Description]])&gt;0,LEN(A64)=0),checks!$B$127,"")))</f>
        <v/>
      </c>
    </row>
    <row r="66" spans="1:9" ht="11.25" customHeight="1" x14ac:dyDescent="0.35">
      <c r="A66" s="42"/>
      <c r="B66" s="48"/>
      <c r="C66" s="48"/>
      <c r="D66" s="48"/>
      <c r="E66" s="47"/>
      <c r="F66" s="43"/>
      <c r="G66" s="208"/>
      <c r="H66" s="64"/>
      <c r="I66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Row],[Description]])&gt;0,LEN(A65)=0),checks!$B$127,"")))</f>
        <v/>
      </c>
    </row>
    <row r="67" spans="1:9" ht="11.25" customHeight="1" x14ac:dyDescent="0.35">
      <c r="A67" s="42"/>
      <c r="B67" s="48"/>
      <c r="C67" s="48"/>
      <c r="D67" s="48"/>
      <c r="E67" s="47"/>
      <c r="F67" s="43"/>
      <c r="G67" s="208"/>
      <c r="H67" s="64"/>
      <c r="I67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Row],[Description]])&gt;0,LEN(A66)=0),checks!$B$127,"")))</f>
        <v/>
      </c>
    </row>
    <row r="68" spans="1:9" ht="11.25" customHeight="1" x14ac:dyDescent="0.35">
      <c r="A68" s="42"/>
      <c r="B68" s="48"/>
      <c r="C68" s="48"/>
      <c r="D68" s="48"/>
      <c r="E68" s="47"/>
      <c r="F68" s="43"/>
      <c r="G68" s="208"/>
      <c r="H68" s="64"/>
      <c r="I68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Row],[Description]])&gt;0,LEN(A67)=0),checks!$B$127,"")))</f>
        <v/>
      </c>
    </row>
    <row r="69" spans="1:9" ht="11.25" customHeight="1" x14ac:dyDescent="0.35">
      <c r="A69" s="42"/>
      <c r="B69" s="48"/>
      <c r="C69" s="48"/>
      <c r="D69" s="48"/>
      <c r="E69" s="47"/>
      <c r="F69" s="43"/>
      <c r="G69" s="208"/>
      <c r="H69" s="64"/>
      <c r="I69" s="252" t="str">
        <f>IF(AND(travel_acc[[#This Row],[Amount]]&gt;0,organisation_type="yes",travel_acc[[#This Row],[Organisation type]]=""),checks!$B$146,IF(AND(travel_acc[[#This Row],[Amount]]&gt;0,organisation_name="yes",travel_acc[[#This Row],[Name organisation]]=""),checks!$B$147,IF(AND(LEN(travel_acc[[#This Row],[Description]])&gt;0,LEN(A68)=0),checks!$B$127,"")))</f>
        <v/>
      </c>
    </row>
    <row r="70" spans="1:9" ht="11.25" customHeight="1" x14ac:dyDescent="0.35">
      <c r="A70" s="205"/>
      <c r="B70" s="206"/>
      <c r="C70" s="206"/>
      <c r="D70" s="206"/>
      <c r="E70" s="206"/>
      <c r="F70" s="51"/>
      <c r="G70" s="218" t="s">
        <v>7</v>
      </c>
      <c r="H70" s="7">
        <f>SUM(travel_acc[Amount])</f>
        <v>0</v>
      </c>
      <c r="I70" s="252"/>
    </row>
    <row r="71" spans="1:9" ht="11.25" customHeight="1" x14ac:dyDescent="0.35">
      <c r="A71" s="186" t="s">
        <v>843</v>
      </c>
      <c r="B71" s="187"/>
      <c r="C71" s="187"/>
      <c r="D71" s="187"/>
      <c r="E71" s="187"/>
      <c r="F71" s="187"/>
      <c r="G71" s="187"/>
      <c r="H71" s="188"/>
      <c r="I71" s="20"/>
    </row>
    <row r="72" spans="1:9" ht="11.25" customHeight="1" x14ac:dyDescent="0.35">
      <c r="A72" s="39" t="s">
        <v>10</v>
      </c>
      <c r="B72" s="39" t="s">
        <v>166</v>
      </c>
      <c r="C72" s="39" t="s">
        <v>167</v>
      </c>
      <c r="D72" s="39" t="s">
        <v>168</v>
      </c>
      <c r="E72" s="39" t="s">
        <v>725</v>
      </c>
      <c r="F72" s="15" t="s">
        <v>52</v>
      </c>
      <c r="G72" s="28" t="s">
        <v>717</v>
      </c>
      <c r="H72" s="31" t="s">
        <v>11</v>
      </c>
      <c r="I72" s="20"/>
    </row>
    <row r="73" spans="1:9" ht="11.25" customHeight="1" x14ac:dyDescent="0.35">
      <c r="A73" s="37"/>
      <c r="B73" s="49"/>
      <c r="C73" s="49"/>
      <c r="D73" s="49"/>
      <c r="E73" s="49"/>
      <c r="F73" s="195"/>
      <c r="G73" s="38"/>
      <c r="H73" s="61"/>
      <c r="I73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Row],[Description]])&gt;0,LEN($A72)=0),checks!$B$127,"")))</f>
        <v/>
      </c>
    </row>
    <row r="74" spans="1:9" ht="11.25" customHeight="1" x14ac:dyDescent="0.35">
      <c r="A74" s="35"/>
      <c r="B74" s="50"/>
      <c r="C74" s="50"/>
      <c r="D74" s="50"/>
      <c r="E74" s="50"/>
      <c r="F74" s="196"/>
      <c r="G74" s="33"/>
      <c r="H74" s="62"/>
      <c r="I74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Row],[Description]])&gt;0,LEN($A73)=0),checks!$B$127,"")))</f>
        <v/>
      </c>
    </row>
    <row r="75" spans="1:9" ht="11.25" customHeight="1" x14ac:dyDescent="0.35">
      <c r="A75" s="35"/>
      <c r="B75" s="50"/>
      <c r="C75" s="50"/>
      <c r="D75" s="50"/>
      <c r="E75" s="50"/>
      <c r="F75" s="196"/>
      <c r="G75" s="202"/>
      <c r="H75" s="63"/>
      <c r="I75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Row],[Description]])&gt;0,LEN($A74)=0),checks!$B$127,"")))</f>
        <v/>
      </c>
    </row>
    <row r="76" spans="1:9" ht="11.25" customHeight="1" x14ac:dyDescent="0.35">
      <c r="A76" s="35"/>
      <c r="B76" s="50"/>
      <c r="C76" s="50"/>
      <c r="D76" s="50"/>
      <c r="E76" s="50"/>
      <c r="F76" s="196"/>
      <c r="G76" s="202"/>
      <c r="H76" s="63"/>
      <c r="I76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Row],[Description]])&gt;0,LEN($A75)=0),checks!$B$127,"")))</f>
        <v/>
      </c>
    </row>
    <row r="77" spans="1:9" ht="11.25" customHeight="1" x14ac:dyDescent="0.35">
      <c r="A77" s="35"/>
      <c r="B77" s="50"/>
      <c r="C77" s="50"/>
      <c r="D77" s="50"/>
      <c r="E77" s="50"/>
      <c r="F77" s="196"/>
      <c r="G77" s="202"/>
      <c r="H77" s="63"/>
      <c r="I77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Row],[Description]])&gt;0,LEN($A76)=0),checks!$B$127,"")))</f>
        <v/>
      </c>
    </row>
    <row r="78" spans="1:9" ht="11.25" customHeight="1" x14ac:dyDescent="0.35">
      <c r="A78" s="35"/>
      <c r="B78" s="50"/>
      <c r="C78" s="50"/>
      <c r="D78" s="50"/>
      <c r="E78" s="50"/>
      <c r="F78" s="196"/>
      <c r="G78" s="202"/>
      <c r="H78" s="63"/>
      <c r="I78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Row],[Description]])&gt;0,LEN($A77)=0),checks!$B$127,"")))</f>
        <v/>
      </c>
    </row>
    <row r="79" spans="1:9" ht="11.25" customHeight="1" x14ac:dyDescent="0.35">
      <c r="A79" s="35"/>
      <c r="B79" s="50"/>
      <c r="C79" s="50"/>
      <c r="D79" s="50"/>
      <c r="E79" s="50"/>
      <c r="F79" s="196"/>
      <c r="G79" s="202"/>
      <c r="H79" s="63"/>
      <c r="I79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Row],[Description]])&gt;0,LEN($A78)=0),checks!$B$127,"")))</f>
        <v/>
      </c>
    </row>
    <row r="80" spans="1:9" ht="11.25" customHeight="1" x14ac:dyDescent="0.35">
      <c r="A80" s="35"/>
      <c r="B80" s="50"/>
      <c r="C80" s="50"/>
      <c r="D80" s="50"/>
      <c r="E80" s="50"/>
      <c r="F80" s="196"/>
      <c r="G80" s="202"/>
      <c r="H80" s="63"/>
      <c r="I80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Row],[Description]])&gt;0,LEN($A79)=0),checks!$B$127,"")))</f>
        <v/>
      </c>
    </row>
    <row r="81" spans="1:9" ht="11.25" customHeight="1" x14ac:dyDescent="0.35">
      <c r="A81" s="35"/>
      <c r="B81" s="50"/>
      <c r="C81" s="50"/>
      <c r="D81" s="50"/>
      <c r="E81" s="50"/>
      <c r="F81" s="196"/>
      <c r="G81" s="202"/>
      <c r="H81" s="63"/>
      <c r="I81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Row],[Description]])&gt;0,LEN($A80)=0),checks!$B$127,"")))</f>
        <v/>
      </c>
    </row>
    <row r="82" spans="1:9" ht="11.25" customHeight="1" x14ac:dyDescent="0.35">
      <c r="A82" s="35"/>
      <c r="B82" s="50"/>
      <c r="C82" s="50"/>
      <c r="D82" s="50"/>
      <c r="E82" s="50"/>
      <c r="F82" s="196"/>
      <c r="G82" s="202"/>
      <c r="H82" s="63"/>
      <c r="I82" s="20" t="str">
        <f>IF(AND(implementation[[#This Row],[Amount]]&gt;0,organisation_type="yes",implementation[[#This Row],[Organisation type]]=""),checks!$B$146,IF(AND(implementation[[#This Row],[Amount]]&gt;0,organisation_name="yes",implementation[[#This Row],[Name organisation]]=""),checks!$B$147,IF(AND(LEN(implementation[[#This Row],[Description]])&gt;0,LEN($A81)=0),checks!$B$127,"")))</f>
        <v/>
      </c>
    </row>
    <row r="83" spans="1:9" ht="11.25" customHeight="1" x14ac:dyDescent="0.35">
      <c r="A83" s="209"/>
      <c r="B83" s="55"/>
      <c r="C83" s="55"/>
      <c r="D83" s="51"/>
      <c r="E83" s="51"/>
      <c r="F83" s="51"/>
      <c r="G83" s="218" t="s">
        <v>7</v>
      </c>
      <c r="H83" s="7">
        <f>SUM(implementation[Amount])</f>
        <v>0</v>
      </c>
      <c r="I83" s="20"/>
    </row>
    <row r="84" spans="1:9" ht="11.25" customHeight="1" x14ac:dyDescent="0.35">
      <c r="A84" s="77"/>
      <c r="B84" s="78"/>
      <c r="C84" s="78"/>
      <c r="D84" s="78"/>
      <c r="E84" s="78"/>
      <c r="F84" s="228"/>
      <c r="G84" s="229" t="s">
        <v>14</v>
      </c>
      <c r="H84" s="76">
        <f>Total_goods_services+Total_travel_acc+Total_implementation+Total_cleanroom</f>
        <v>0</v>
      </c>
      <c r="I84" s="189" t="str">
        <f ca="1">IF(Total_material_costs&gt;FTE_year_PhD_PD*Mat_max_FTE_year+pers_other_years_materials*Mat_max_FTE_year_other_inst+mat_costs_accountant+Total_cleanroom,checks!$B$157,"")</f>
        <v/>
      </c>
    </row>
    <row r="85" spans="1:9" ht="11.25" customHeight="1" x14ac:dyDescent="0.35">
      <c r="A85" s="277"/>
      <c r="B85" s="278"/>
      <c r="C85" s="278"/>
      <c r="D85" s="278"/>
      <c r="E85" s="278"/>
      <c r="F85" s="278"/>
      <c r="G85" s="230"/>
    </row>
    <row r="86" spans="1:9" ht="11.25" customHeight="1" x14ac:dyDescent="0.35">
      <c r="A86" s="11"/>
      <c r="F86" s="219"/>
      <c r="G86" s="224"/>
    </row>
    <row r="87" spans="1:9" ht="11.25" hidden="1" customHeight="1" x14ac:dyDescent="0.35">
      <c r="A87" s="225"/>
      <c r="B87" s="226"/>
      <c r="C87" s="226"/>
      <c r="D87" s="226"/>
      <c r="E87" s="226"/>
      <c r="F87" s="226"/>
      <c r="G87" s="227" t="s">
        <v>808</v>
      </c>
      <c r="H87" s="143">
        <f>Total_MfC_pers_ac_inst+Total_MfC_materials</f>
        <v>0</v>
      </c>
      <c r="I87" s="8" t="str">
        <f>IF(AND(Total_MfC_materials+Total_MfC_pers_ac_inst&gt;MfC_maxamount,Total_NWO_funding&gt;0),checks!$B$177,IF(AND(Total_MfC_materials+Total_MfC_pers_ac_inst&gt;MfC_maxperc*Total_NWO_funding,Total_NWO_funding&gt;0),checks!$B$178,""))</f>
        <v/>
      </c>
    </row>
    <row r="88" spans="1:9" ht="11.25" hidden="1" customHeight="1" x14ac:dyDescent="0.35">
      <c r="A88" s="11"/>
      <c r="F88" s="219"/>
      <c r="G88" s="231"/>
      <c r="H88" s="219"/>
      <c r="I88" s="8"/>
    </row>
    <row r="89" spans="1:9" ht="11.25" hidden="1" customHeight="1" x14ac:dyDescent="0.35"/>
  </sheetData>
  <sheetProtection selectLockedCells="1"/>
  <dataConsolidate/>
  <mergeCells count="14">
    <mergeCell ref="I1:I4"/>
    <mergeCell ref="A1:H1"/>
    <mergeCell ref="A40:H40"/>
    <mergeCell ref="A39:H39"/>
    <mergeCell ref="A85:F85"/>
    <mergeCell ref="A12:F12"/>
    <mergeCell ref="A9:F9"/>
    <mergeCell ref="A13:H13"/>
    <mergeCell ref="B3:H3"/>
    <mergeCell ref="B4:H4"/>
    <mergeCell ref="B5:H5"/>
    <mergeCell ref="B6:H6"/>
    <mergeCell ref="E2:H2"/>
    <mergeCell ref="C2:D2"/>
  </mergeCells>
  <conditionalFormatting sqref="B7">
    <cfRule type="expression" dxfId="9" priority="61">
      <formula>LEN($I$7)&gt;0</formula>
    </cfRule>
  </conditionalFormatting>
  <conditionalFormatting sqref="C2:D2">
    <cfRule type="expression" dxfId="8" priority="2">
      <formula>AND(Total_NWO_funding&gt;0,Main_applicant="")</formula>
    </cfRule>
  </conditionalFormatting>
  <dataValidations count="11">
    <dataValidation type="list" allowBlank="1" showInputMessage="1" showErrorMessage="1" sqref="F42:F56 F60:F69 F73:F82 B4:H4" xr:uid="{00000000-0002-0000-0100-000000000000}">
      <formula1>list_ac_other_combined</formula1>
    </dataValidation>
    <dataValidation type="list" allowBlank="1" showInputMessage="1" showErrorMessage="1" errorTitle="Invalid entry" error="Please select organisation type from the list." sqref="F16:F35" xr:uid="{00000000-0002-0000-0100-000001000000}">
      <formula1>list_personnel_other_inst</formula1>
    </dataValidation>
    <dataValidation type="decimal" allowBlank="1" showInputMessage="1" showErrorMessage="1" errorTitle="Invalid input hourly rate" error="Provide a numerical value (€ 0 - €300)" sqref="D16:D35" xr:uid="{00000000-0002-0000-0100-000002000000}">
      <formula1>0</formula1>
      <formula2>300</formula2>
    </dataValidation>
    <dataValidation type="whole" allowBlank="1" showInputMessage="1" showErrorMessage="1" errorTitle="Invalid nr of months" error="Provide a numerical value (max 96 months), rounded to full months" sqref="E16:E35" xr:uid="{00000000-0002-0000-0100-000003000000}">
      <formula1>1</formula1>
      <formula2>96</formula2>
    </dataValidation>
    <dataValidation type="date" allowBlank="1" showInputMessage="1" showErrorMessage="1" errorTitle="Invalid entry" error="Please provide a valid date (dd/mm/yy)" sqref="B2" xr:uid="{00000000-0002-0000-0100-000004000000}">
      <formula1>43831</formula1>
      <formula2>73415</formula2>
    </dataValidation>
    <dataValidation type="date" allowBlank="1" showInputMessage="1" showErrorMessage="1" errorTitle="Invalid entry" error="Please provide a valid provisional start date (dd/mm/yyyy)." sqref="B7" xr:uid="{00000000-0002-0000-0100-000005000000}">
      <formula1>43831</formula1>
      <formula2>73415</formula2>
    </dataValidation>
    <dataValidation type="date" allowBlank="1" showInputMessage="1" showErrorMessage="1" errorTitle="Invalid entry" error="Please provide a valid provisional end date (dd/mm/yyyy)." sqref="D7:E7" xr:uid="{00000000-0002-0000-0100-000006000000}">
      <formula1>43831</formula1>
      <formula2>73415</formula2>
    </dataValidation>
    <dataValidation type="list" allowBlank="1" showInputMessage="1" showErrorMessage="1" errorTitle="Invalid entry" error="Select item from the list." sqref="B16:B35" xr:uid="{00000000-0002-0000-0100-000007000000}">
      <formula1>INDIRECT("salaries_other_inst[category]")</formula1>
    </dataValidation>
    <dataValidation type="decimal" allowBlank="1" showInputMessage="1" showErrorMessage="1" errorTitle="Invalid entry" error="Provide a numerical value." sqref="H73:H82 H42:H56" xr:uid="{00000000-0002-0000-0100-000008000000}">
      <formula1>0</formula1>
      <formula2>999999999</formula2>
    </dataValidation>
    <dataValidation allowBlank="1" showInputMessage="1" showErrorMessage="1" errorTitle="Invalid entry" error="Provide a numerical value." sqref="H60:H69" xr:uid="{00000000-0002-0000-0100-000009000000}"/>
    <dataValidation type="whole" allowBlank="1" showInputMessage="1" showErrorMessage="1" errorTitle="Invalid input nr of hours" error="Provide a round, numerical, value (0 - 99999)" sqref="C16:C35" xr:uid="{00000000-0002-0000-0100-00000A000000}">
      <formula1>0</formula1>
      <formula2>99999</formula2>
    </dataValidation>
  </dataValidations>
  <printOptions headings="1"/>
  <pageMargins left="0.19685039370078741" right="0.19685039370078741" top="0.19685039370078741" bottom="0.19685039370078741" header="0.19685039370078741" footer="0.19685039370078741"/>
  <pageSetup paperSize="9" scale="50" fitToHeight="0" orientation="portrait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outlinePr summaryBelow="0"/>
  </sheetPr>
  <dimension ref="A2:DB530"/>
  <sheetViews>
    <sheetView zoomScale="85" zoomScaleNormal="85" workbookViewId="0">
      <selection activeCell="C38" sqref="C38"/>
    </sheetView>
  </sheetViews>
  <sheetFormatPr defaultColWidth="9.1796875" defaultRowHeight="14.5" outlineLevelRow="1" x14ac:dyDescent="0.35"/>
  <cols>
    <col min="1" max="1" width="46.1796875" style="21" customWidth="1"/>
    <col min="2" max="2" width="16.453125" style="21" customWidth="1"/>
    <col min="3" max="3" width="37.7265625" style="21" customWidth="1"/>
    <col min="4" max="4" width="12.453125" style="21" customWidth="1"/>
    <col min="5" max="5" width="36.81640625" style="21" customWidth="1"/>
    <col min="6" max="6" width="16.453125" style="21" customWidth="1"/>
    <col min="7" max="7" width="19" style="21" customWidth="1"/>
    <col min="8" max="8" width="14.81640625" style="21" customWidth="1"/>
    <col min="9" max="9" width="12.453125" style="21" customWidth="1"/>
    <col min="10" max="10" width="13.54296875" style="21" customWidth="1"/>
    <col min="11" max="11" width="13" style="21" customWidth="1"/>
    <col min="12" max="14" width="13.54296875" style="21" customWidth="1"/>
    <col min="15" max="15" width="13.26953125" style="21" customWidth="1"/>
    <col min="16" max="16" width="13.54296875" style="21" customWidth="1"/>
    <col min="17" max="17" width="13.26953125" style="21" customWidth="1"/>
    <col min="18" max="19" width="13.54296875" style="21" customWidth="1"/>
    <col min="20" max="20" width="14" style="21" customWidth="1"/>
    <col min="21" max="21" width="13.54296875" style="21" customWidth="1"/>
    <col min="22" max="24" width="14" style="21" customWidth="1"/>
    <col min="25" max="25" width="13.7265625" style="21" customWidth="1"/>
    <col min="26" max="26" width="14" style="21" customWidth="1"/>
    <col min="27" max="27" width="13.7265625" style="21" customWidth="1"/>
    <col min="28" max="30" width="14" style="21" customWidth="1"/>
    <col min="31" max="31" width="13.54296875" style="21" customWidth="1"/>
    <col min="32" max="34" width="14" style="21" customWidth="1"/>
    <col min="35" max="35" width="13.7265625" style="21" customWidth="1"/>
    <col min="36" max="36" width="14" style="21" customWidth="1"/>
    <col min="37" max="37" width="13.7265625" style="21" customWidth="1"/>
    <col min="38" max="40" width="14" style="21" customWidth="1"/>
    <col min="41" max="41" width="13.54296875" style="21" customWidth="1"/>
    <col min="42" max="44" width="14" style="21" customWidth="1"/>
    <col min="45" max="45" width="13.7265625" style="21" customWidth="1"/>
    <col min="46" max="46" width="14" style="21" customWidth="1"/>
    <col min="47" max="47" width="13.7265625" style="21" customWidth="1"/>
    <col min="48" max="49" width="14" style="21" customWidth="1"/>
    <col min="50" max="50" width="13.7265625" style="21" customWidth="1"/>
    <col min="51" max="51" width="13.26953125" style="21" customWidth="1"/>
    <col min="52" max="54" width="13.7265625" style="21" customWidth="1"/>
    <col min="55" max="55" width="13.54296875" style="21" customWidth="1"/>
    <col min="56" max="56" width="13.7265625" style="21" customWidth="1"/>
    <col min="57" max="57" width="13.54296875" style="21" customWidth="1"/>
    <col min="58" max="59" width="13.7265625" style="21" customWidth="1"/>
    <col min="60" max="60" width="14" style="21" customWidth="1"/>
    <col min="61" max="61" width="13.54296875" style="21" customWidth="1"/>
    <col min="62" max="64" width="14" style="21" customWidth="1"/>
    <col min="65" max="65" width="13.7265625" style="21" customWidth="1"/>
    <col min="66" max="66" width="14" style="21" customWidth="1"/>
    <col min="67" max="67" width="13.7265625" style="21" customWidth="1"/>
    <col min="68" max="69" width="14" style="21" customWidth="1"/>
    <col min="70" max="70" width="13.7265625" style="21" customWidth="1"/>
    <col min="71" max="71" width="13.26953125" style="21" customWidth="1"/>
    <col min="72" max="74" width="13.7265625" style="21" customWidth="1"/>
    <col min="75" max="75" width="13.54296875" style="21" customWidth="1"/>
    <col min="76" max="76" width="13.7265625" style="21" customWidth="1"/>
    <col min="77" max="77" width="13.54296875" style="21" customWidth="1"/>
    <col min="78" max="79" width="13.7265625" style="21" customWidth="1"/>
    <col min="80" max="80" width="14" style="21" customWidth="1"/>
    <col min="81" max="81" width="13.54296875" style="21" customWidth="1"/>
    <col min="82" max="84" width="14" style="21" customWidth="1"/>
    <col min="85" max="85" width="13.7265625" style="21" customWidth="1"/>
    <col min="86" max="86" width="14" style="21" customWidth="1"/>
    <col min="87" max="87" width="13.7265625" style="21" customWidth="1"/>
    <col min="88" max="90" width="14" style="21" customWidth="1"/>
    <col min="91" max="91" width="13.54296875" style="21" customWidth="1"/>
    <col min="92" max="94" width="14" style="21" customWidth="1"/>
    <col min="95" max="95" width="13.7265625" style="21" customWidth="1"/>
    <col min="96" max="96" width="14" style="21" customWidth="1"/>
    <col min="97" max="97" width="13.7265625" style="21" customWidth="1"/>
    <col min="98" max="16384" width="9.1796875" style="21"/>
  </cols>
  <sheetData>
    <row r="2" spans="1:3" ht="18.5" x14ac:dyDescent="0.35">
      <c r="A2" s="53" t="s">
        <v>171</v>
      </c>
    </row>
    <row r="3" spans="1:3" x14ac:dyDescent="0.35">
      <c r="A3" s="21" t="s">
        <v>181</v>
      </c>
      <c r="B3" s="260">
        <v>45630.57644675926</v>
      </c>
    </row>
    <row r="4" spans="1:3" x14ac:dyDescent="0.35">
      <c r="A4" s="21" t="s">
        <v>622</v>
      </c>
      <c r="B4" s="32">
        <v>0</v>
      </c>
    </row>
    <row r="5" spans="1:3" x14ac:dyDescent="0.35">
      <c r="A5" s="21" t="s">
        <v>820</v>
      </c>
      <c r="B5" s="32" t="s">
        <v>656</v>
      </c>
    </row>
    <row r="6" spans="1:3" x14ac:dyDescent="0.35">
      <c r="A6" s="21" t="s">
        <v>821</v>
      </c>
      <c r="B6" s="32" t="s">
        <v>656</v>
      </c>
    </row>
    <row r="7" spans="1:3" x14ac:dyDescent="0.35">
      <c r="A7" s="21" t="s">
        <v>822</v>
      </c>
      <c r="B7" s="32" t="s">
        <v>656</v>
      </c>
    </row>
    <row r="8" spans="1:3" x14ac:dyDescent="0.35">
      <c r="A8" s="21" t="s">
        <v>161</v>
      </c>
      <c r="B8" s="32">
        <v>30000</v>
      </c>
    </row>
    <row r="9" spans="1:3" x14ac:dyDescent="0.35">
      <c r="A9" s="21" t="s">
        <v>174</v>
      </c>
      <c r="B9" s="60">
        <v>12</v>
      </c>
    </row>
    <row r="10" spans="1:3" x14ac:dyDescent="0.35">
      <c r="A10" s="21" t="s">
        <v>669</v>
      </c>
      <c r="B10" s="60" t="s">
        <v>188</v>
      </c>
      <c r="C10" s="21" t="s">
        <v>806</v>
      </c>
    </row>
    <row r="11" spans="1:3" x14ac:dyDescent="0.35">
      <c r="A11" s="21" t="s">
        <v>744</v>
      </c>
      <c r="B11" s="60" t="s">
        <v>188</v>
      </c>
      <c r="C11" s="21" t="s">
        <v>807</v>
      </c>
    </row>
    <row r="12" spans="1:3" x14ac:dyDescent="0.35">
      <c r="A12" s="21" t="s">
        <v>787</v>
      </c>
      <c r="B12" s="60" t="s">
        <v>188</v>
      </c>
      <c r="C12" s="21" t="s">
        <v>788</v>
      </c>
    </row>
    <row r="13" spans="1:3" x14ac:dyDescent="0.35">
      <c r="B13" s="60"/>
    </row>
    <row r="14" spans="1:3" ht="18.5" x14ac:dyDescent="0.35">
      <c r="A14" s="53" t="s">
        <v>182</v>
      </c>
      <c r="B14" s="60"/>
    </row>
    <row r="15" spans="1:3" x14ac:dyDescent="0.35">
      <c r="A15" s="21" t="s">
        <v>183</v>
      </c>
      <c r="B15" s="66">
        <v>45474</v>
      </c>
    </row>
    <row r="16" spans="1:3" x14ac:dyDescent="0.35">
      <c r="A16" s="21" t="s">
        <v>184</v>
      </c>
      <c r="B16" s="66">
        <v>45413</v>
      </c>
    </row>
    <row r="17" spans="1:3" x14ac:dyDescent="0.35">
      <c r="A17" s="21" t="s">
        <v>699</v>
      </c>
      <c r="B17" s="67">
        <v>48</v>
      </c>
      <c r="C17" s="21" t="s">
        <v>671</v>
      </c>
    </row>
    <row r="18" spans="1:3" x14ac:dyDescent="0.35">
      <c r="A18" s="21" t="s">
        <v>815</v>
      </c>
      <c r="B18" s="67">
        <v>48</v>
      </c>
      <c r="C18" s="21" t="s">
        <v>671</v>
      </c>
    </row>
    <row r="19" spans="1:3" x14ac:dyDescent="0.35">
      <c r="A19" s="21" t="s">
        <v>700</v>
      </c>
      <c r="B19" s="67">
        <v>36</v>
      </c>
      <c r="C19" s="21" t="s">
        <v>671</v>
      </c>
    </row>
    <row r="20" spans="1:3" x14ac:dyDescent="0.35">
      <c r="A20" s="21" t="s">
        <v>703</v>
      </c>
      <c r="B20" s="67">
        <v>24</v>
      </c>
      <c r="C20" s="21" t="s">
        <v>671</v>
      </c>
    </row>
    <row r="21" spans="1:3" x14ac:dyDescent="0.35">
      <c r="A21" s="21" t="s">
        <v>701</v>
      </c>
      <c r="B21" s="67">
        <v>6</v>
      </c>
      <c r="C21" s="21" t="s">
        <v>671</v>
      </c>
    </row>
    <row r="22" spans="1:3" x14ac:dyDescent="0.35">
      <c r="A22" s="21" t="s">
        <v>702</v>
      </c>
      <c r="B22" s="182">
        <v>48</v>
      </c>
      <c r="C22" s="21" t="s">
        <v>671</v>
      </c>
    </row>
    <row r="23" spans="1:3" x14ac:dyDescent="0.35">
      <c r="A23" s="21" t="s">
        <v>687</v>
      </c>
      <c r="B23" s="32">
        <v>100000</v>
      </c>
    </row>
    <row r="24" spans="1:3" x14ac:dyDescent="0.35">
      <c r="A24" s="21" t="s">
        <v>698</v>
      </c>
      <c r="B24" s="60">
        <v>6</v>
      </c>
      <c r="C24" s="21" t="s">
        <v>671</v>
      </c>
    </row>
    <row r="25" spans="1:3" x14ac:dyDescent="0.35">
      <c r="A25" s="21" t="s">
        <v>695</v>
      </c>
      <c r="B25" s="60">
        <v>48</v>
      </c>
      <c r="C25" s="21" t="s">
        <v>671</v>
      </c>
    </row>
    <row r="26" spans="1:3" x14ac:dyDescent="0.35">
      <c r="A26" s="21" t="s">
        <v>186</v>
      </c>
      <c r="B26" s="32">
        <v>100000</v>
      </c>
    </row>
    <row r="27" spans="1:3" x14ac:dyDescent="0.35">
      <c r="A27" s="21" t="s">
        <v>696</v>
      </c>
      <c r="B27" s="60">
        <v>6</v>
      </c>
      <c r="C27" s="21" t="s">
        <v>671</v>
      </c>
    </row>
    <row r="28" spans="1:3" x14ac:dyDescent="0.35">
      <c r="A28" s="21" t="s">
        <v>697</v>
      </c>
      <c r="B28" s="60">
        <v>48</v>
      </c>
      <c r="C28" s="21" t="s">
        <v>671</v>
      </c>
    </row>
    <row r="29" spans="1:3" x14ac:dyDescent="0.35">
      <c r="A29" s="21" t="s">
        <v>672</v>
      </c>
      <c r="B29" s="68">
        <v>1</v>
      </c>
    </row>
    <row r="30" spans="1:3" x14ac:dyDescent="0.35">
      <c r="A30" s="21" t="s">
        <v>673</v>
      </c>
      <c r="B30" s="67">
        <v>5</v>
      </c>
      <c r="C30" s="21" t="s">
        <v>671</v>
      </c>
    </row>
    <row r="31" spans="1:3" x14ac:dyDescent="0.35">
      <c r="A31" s="21" t="s">
        <v>162</v>
      </c>
      <c r="B31" s="32">
        <v>5000</v>
      </c>
      <c r="C31" s="21" t="s">
        <v>750</v>
      </c>
    </row>
    <row r="32" spans="1:3" x14ac:dyDescent="0.35">
      <c r="A32" s="21" t="s">
        <v>185</v>
      </c>
      <c r="B32" s="67">
        <v>2026</v>
      </c>
    </row>
    <row r="33" spans="1:2" x14ac:dyDescent="0.35">
      <c r="A33" s="21" t="s">
        <v>202</v>
      </c>
      <c r="B33" s="67" t="s">
        <v>203</v>
      </c>
    </row>
    <row r="34" spans="1:2" x14ac:dyDescent="0.35">
      <c r="A34" s="21" t="s">
        <v>164</v>
      </c>
      <c r="B34" s="32" t="s">
        <v>165</v>
      </c>
    </row>
    <row r="35" spans="1:2" x14ac:dyDescent="0.35">
      <c r="A35" s="21" t="s">
        <v>593</v>
      </c>
      <c r="B35" s="67">
        <v>1354</v>
      </c>
    </row>
    <row r="36" spans="1:2" x14ac:dyDescent="0.35">
      <c r="B36" s="32"/>
    </row>
    <row r="37" spans="1:2" ht="18.5" x14ac:dyDescent="0.35">
      <c r="A37" s="53" t="s">
        <v>201</v>
      </c>
      <c r="B37" s="32"/>
    </row>
    <row r="38" spans="1:2" ht="31.5" customHeight="1" x14ac:dyDescent="0.35">
      <c r="A38" s="93" t="s">
        <v>752</v>
      </c>
      <c r="B38" s="80">
        <v>30000</v>
      </c>
    </row>
    <row r="39" spans="1:2" ht="31.5" customHeight="1" x14ac:dyDescent="0.35">
      <c r="A39" s="93" t="s">
        <v>592</v>
      </c>
      <c r="B39" s="222">
        <v>0</v>
      </c>
    </row>
    <row r="40" spans="1:2" ht="33" customHeight="1" x14ac:dyDescent="0.35">
      <c r="A40" s="93" t="s">
        <v>591</v>
      </c>
      <c r="B40" s="94">
        <v>0</v>
      </c>
    </row>
    <row r="41" spans="1:2" ht="45.75" customHeight="1" x14ac:dyDescent="0.35">
      <c r="A41" s="93" t="s">
        <v>590</v>
      </c>
      <c r="B41" s="80">
        <v>30000</v>
      </c>
    </row>
    <row r="42" spans="1:2" ht="15" customHeight="1" x14ac:dyDescent="0.35">
      <c r="A42" s="95" t="s">
        <v>204</v>
      </c>
      <c r="B42" s="80">
        <v>0</v>
      </c>
    </row>
    <row r="43" spans="1:2" ht="15" customHeight="1" x14ac:dyDescent="0.35">
      <c r="A43" s="95" t="s">
        <v>710</v>
      </c>
      <c r="B43" s="80">
        <v>40000</v>
      </c>
    </row>
    <row r="44" spans="1:2" ht="15" customHeight="1" x14ac:dyDescent="0.35">
      <c r="A44" s="95" t="s">
        <v>711</v>
      </c>
      <c r="B44" s="80">
        <v>150000</v>
      </c>
    </row>
    <row r="45" spans="1:2" ht="15" customHeight="1" x14ac:dyDescent="0.35">
      <c r="A45" s="53"/>
      <c r="B45" s="32"/>
    </row>
    <row r="46" spans="1:2" ht="18.5" x14ac:dyDescent="0.35">
      <c r="A46" s="53" t="s">
        <v>13</v>
      </c>
      <c r="B46" s="32"/>
    </row>
    <row r="47" spans="1:2" x14ac:dyDescent="0.35">
      <c r="A47" s="21" t="s">
        <v>187</v>
      </c>
      <c r="B47" s="32" t="s">
        <v>626</v>
      </c>
    </row>
    <row r="48" spans="1:2" x14ac:dyDescent="0.35">
      <c r="A48" s="21" t="s">
        <v>189</v>
      </c>
      <c r="B48" s="32">
        <v>150000</v>
      </c>
    </row>
    <row r="49" spans="1:2" x14ac:dyDescent="0.35">
      <c r="A49" s="21" t="s">
        <v>190</v>
      </c>
      <c r="B49" s="68">
        <v>0.25</v>
      </c>
    </row>
    <row r="50" spans="1:2" x14ac:dyDescent="0.35">
      <c r="A50" s="21" t="s">
        <v>191</v>
      </c>
      <c r="B50" s="32">
        <v>0</v>
      </c>
    </row>
    <row r="51" spans="1:2" x14ac:dyDescent="0.35">
      <c r="A51" s="21" t="s">
        <v>192</v>
      </c>
      <c r="B51" s="32">
        <v>500000</v>
      </c>
    </row>
    <row r="52" spans="1:2" x14ac:dyDescent="0.35">
      <c r="B52" s="32"/>
    </row>
    <row r="53" spans="1:2" ht="18.5" x14ac:dyDescent="0.35">
      <c r="A53" s="53" t="s">
        <v>205</v>
      </c>
      <c r="B53" s="32"/>
    </row>
    <row r="54" spans="1:2" x14ac:dyDescent="0.35">
      <c r="A54" s="21" t="s">
        <v>206</v>
      </c>
      <c r="B54" s="68">
        <v>0</v>
      </c>
    </row>
    <row r="55" spans="1:2" x14ac:dyDescent="0.35">
      <c r="A55" s="21" t="s">
        <v>207</v>
      </c>
      <c r="B55" s="32">
        <v>30000</v>
      </c>
    </row>
    <row r="56" spans="1:2" x14ac:dyDescent="0.35">
      <c r="A56" s="21" t="s">
        <v>753</v>
      </c>
      <c r="B56" s="32">
        <v>30000</v>
      </c>
    </row>
    <row r="57" spans="1:2" x14ac:dyDescent="0.35">
      <c r="A57" s="21" t="s">
        <v>674</v>
      </c>
      <c r="B57" s="68">
        <v>0.05</v>
      </c>
    </row>
    <row r="58" spans="1:2" x14ac:dyDescent="0.35">
      <c r="A58" s="21" t="s">
        <v>675</v>
      </c>
      <c r="B58" s="68">
        <v>0.06</v>
      </c>
    </row>
    <row r="60" spans="1:2" ht="18.5" x14ac:dyDescent="0.35">
      <c r="A60" s="53" t="s">
        <v>15</v>
      </c>
    </row>
    <row r="61" spans="1:2" x14ac:dyDescent="0.35">
      <c r="A61" s="21" t="s">
        <v>208</v>
      </c>
      <c r="B61" s="32">
        <v>99999999</v>
      </c>
    </row>
    <row r="62" spans="1:2" x14ac:dyDescent="0.35">
      <c r="A62" s="21" t="s">
        <v>642</v>
      </c>
      <c r="B62" s="68">
        <v>1</v>
      </c>
    </row>
    <row r="63" spans="1:2" x14ac:dyDescent="0.35">
      <c r="A63" s="21" t="s">
        <v>635</v>
      </c>
      <c r="B63" s="32">
        <v>30000</v>
      </c>
    </row>
    <row r="64" spans="1:2" x14ac:dyDescent="0.35">
      <c r="A64" s="21" t="s">
        <v>636</v>
      </c>
      <c r="B64" s="68">
        <v>1</v>
      </c>
    </row>
    <row r="65" spans="1:2" x14ac:dyDescent="0.35">
      <c r="A65" s="21" t="s">
        <v>639</v>
      </c>
      <c r="B65" s="32">
        <v>30000</v>
      </c>
    </row>
    <row r="66" spans="1:2" x14ac:dyDescent="0.35">
      <c r="A66" s="21" t="s">
        <v>209</v>
      </c>
      <c r="B66" s="68">
        <v>0.5</v>
      </c>
    </row>
    <row r="67" spans="1:2" x14ac:dyDescent="0.35">
      <c r="B67" s="68"/>
    </row>
    <row r="68" spans="1:2" ht="18.5" x14ac:dyDescent="0.35">
      <c r="A68" s="53" t="s">
        <v>49</v>
      </c>
      <c r="B68" s="68"/>
    </row>
    <row r="69" spans="1:2" x14ac:dyDescent="0.35">
      <c r="A69" s="21" t="s">
        <v>210</v>
      </c>
      <c r="B69" s="68">
        <v>0.25</v>
      </c>
    </row>
    <row r="70" spans="1:2" ht="29" x14ac:dyDescent="0.35">
      <c r="A70" s="79" t="s">
        <v>708</v>
      </c>
      <c r="B70" s="80">
        <v>30000</v>
      </c>
    </row>
    <row r="71" spans="1:2" x14ac:dyDescent="0.35">
      <c r="A71" s="79"/>
      <c r="B71" s="80"/>
    </row>
    <row r="72" spans="1:2" ht="18.5" x14ac:dyDescent="0.35">
      <c r="A72" s="81" t="s">
        <v>16</v>
      </c>
      <c r="B72" s="80"/>
    </row>
    <row r="73" spans="1:2" x14ac:dyDescent="0.35">
      <c r="A73" s="79" t="s">
        <v>617</v>
      </c>
      <c r="B73" s="80">
        <v>0</v>
      </c>
    </row>
    <row r="74" spans="1:2" x14ac:dyDescent="0.35">
      <c r="A74" s="79" t="s">
        <v>211</v>
      </c>
      <c r="B74" s="68">
        <v>0.25</v>
      </c>
    </row>
    <row r="75" spans="1:2" x14ac:dyDescent="0.35">
      <c r="A75" s="79" t="s">
        <v>212</v>
      </c>
      <c r="B75" s="68">
        <v>0.49</v>
      </c>
    </row>
    <row r="76" spans="1:2" x14ac:dyDescent="0.35">
      <c r="A76" s="79" t="s">
        <v>213</v>
      </c>
      <c r="B76" s="68">
        <v>0</v>
      </c>
    </row>
    <row r="77" spans="1:2" x14ac:dyDescent="0.35">
      <c r="A77" s="79" t="s">
        <v>632</v>
      </c>
      <c r="B77" s="68" t="s">
        <v>656</v>
      </c>
    </row>
    <row r="78" spans="1:2" x14ac:dyDescent="0.35">
      <c r="A78" s="79" t="s">
        <v>798</v>
      </c>
      <c r="B78" s="68" t="s">
        <v>626</v>
      </c>
    </row>
    <row r="79" spans="1:2" x14ac:dyDescent="0.35">
      <c r="A79" s="79" t="s">
        <v>790</v>
      </c>
      <c r="B79" s="255" t="s">
        <v>656</v>
      </c>
    </row>
    <row r="80" spans="1:2" x14ac:dyDescent="0.35">
      <c r="A80" s="79" t="s">
        <v>791</v>
      </c>
      <c r="B80" s="255" t="s">
        <v>656</v>
      </c>
    </row>
    <row r="81" spans="1:98" x14ac:dyDescent="0.35">
      <c r="A81" s="79" t="s">
        <v>214</v>
      </c>
      <c r="B81" s="68" t="s">
        <v>836</v>
      </c>
    </row>
    <row r="82" spans="1:98" x14ac:dyDescent="0.35">
      <c r="A82" s="79"/>
      <c r="B82" s="80"/>
    </row>
    <row r="85" spans="1:98" ht="18.5" x14ac:dyDescent="0.35">
      <c r="A85" s="53" t="s">
        <v>196</v>
      </c>
    </row>
    <row r="87" spans="1:98" outlineLevel="1" x14ac:dyDescent="0.35">
      <c r="A87" s="111" t="s">
        <v>160</v>
      </c>
      <c r="B87" s="248" t="s">
        <v>199</v>
      </c>
      <c r="C87" s="112" t="s">
        <v>64</v>
      </c>
      <c r="D87" s="112" t="s">
        <v>65</v>
      </c>
      <c r="E87" s="112" t="s">
        <v>66</v>
      </c>
      <c r="F87" s="112" t="s">
        <v>67</v>
      </c>
      <c r="G87" s="112" t="s">
        <v>68</v>
      </c>
      <c r="H87" s="112" t="s">
        <v>69</v>
      </c>
      <c r="I87" s="112" t="s">
        <v>70</v>
      </c>
      <c r="J87" s="112" t="s">
        <v>71</v>
      </c>
      <c r="K87" s="112" t="s">
        <v>72</v>
      </c>
      <c r="L87" s="112" t="s">
        <v>73</v>
      </c>
      <c r="M87" s="112" t="s">
        <v>74</v>
      </c>
      <c r="N87" s="112" t="s">
        <v>75</v>
      </c>
      <c r="O87" s="112" t="s">
        <v>76</v>
      </c>
      <c r="P87" s="112" t="s">
        <v>77</v>
      </c>
      <c r="Q87" s="112" t="s">
        <v>78</v>
      </c>
      <c r="R87" s="112" t="s">
        <v>79</v>
      </c>
      <c r="S87" s="112" t="s">
        <v>80</v>
      </c>
      <c r="T87" s="112" t="s">
        <v>81</v>
      </c>
      <c r="U87" s="112" t="s">
        <v>82</v>
      </c>
      <c r="V87" s="112" t="s">
        <v>83</v>
      </c>
      <c r="W87" s="112" t="s">
        <v>84</v>
      </c>
      <c r="X87" s="112" t="s">
        <v>85</v>
      </c>
      <c r="Y87" s="112" t="s">
        <v>86</v>
      </c>
      <c r="Z87" s="112" t="s">
        <v>87</v>
      </c>
      <c r="AA87" s="112" t="s">
        <v>88</v>
      </c>
      <c r="AB87" s="112" t="s">
        <v>89</v>
      </c>
      <c r="AC87" s="112" t="s">
        <v>90</v>
      </c>
      <c r="AD87" s="112" t="s">
        <v>91</v>
      </c>
      <c r="AE87" s="112" t="s">
        <v>92</v>
      </c>
      <c r="AF87" s="112" t="s">
        <v>93</v>
      </c>
      <c r="AG87" s="112" t="s">
        <v>94</v>
      </c>
      <c r="AH87" s="112" t="s">
        <v>95</v>
      </c>
      <c r="AI87" s="112" t="s">
        <v>96</v>
      </c>
      <c r="AJ87" s="112" t="s">
        <v>97</v>
      </c>
      <c r="AK87" s="112" t="s">
        <v>98</v>
      </c>
      <c r="AL87" s="112" t="s">
        <v>99</v>
      </c>
      <c r="AM87" s="112" t="s">
        <v>100</v>
      </c>
      <c r="AN87" s="112" t="s">
        <v>101</v>
      </c>
      <c r="AO87" s="112" t="s">
        <v>102</v>
      </c>
      <c r="AP87" s="112" t="s">
        <v>103</v>
      </c>
      <c r="AQ87" s="112" t="s">
        <v>104</v>
      </c>
      <c r="AR87" s="112" t="s">
        <v>105</v>
      </c>
      <c r="AS87" s="112" t="s">
        <v>106</v>
      </c>
      <c r="AT87" s="112" t="s">
        <v>107</v>
      </c>
      <c r="AU87" s="112" t="s">
        <v>108</v>
      </c>
      <c r="AV87" s="112" t="s">
        <v>109</v>
      </c>
      <c r="AW87" s="112" t="s">
        <v>110</v>
      </c>
      <c r="AX87" s="112" t="s">
        <v>111</v>
      </c>
      <c r="AY87" s="112" t="s">
        <v>112</v>
      </c>
      <c r="AZ87" s="112" t="s">
        <v>113</v>
      </c>
      <c r="BA87" s="112" t="s">
        <v>114</v>
      </c>
      <c r="BB87" s="112" t="s">
        <v>115</v>
      </c>
      <c r="BC87" s="112" t="s">
        <v>116</v>
      </c>
      <c r="BD87" s="112" t="s">
        <v>117</v>
      </c>
      <c r="BE87" s="112" t="s">
        <v>118</v>
      </c>
      <c r="BF87" s="112" t="s">
        <v>119</v>
      </c>
      <c r="BG87" s="112" t="s">
        <v>120</v>
      </c>
      <c r="BH87" s="112" t="s">
        <v>121</v>
      </c>
      <c r="BI87" s="112" t="s">
        <v>122</v>
      </c>
      <c r="BJ87" s="112" t="s">
        <v>123</v>
      </c>
      <c r="BK87" s="112" t="s">
        <v>124</v>
      </c>
      <c r="BL87" s="112" t="s">
        <v>125</v>
      </c>
      <c r="BM87" s="112" t="s">
        <v>126</v>
      </c>
      <c r="BN87" s="112" t="s">
        <v>127</v>
      </c>
      <c r="BO87" s="112" t="s">
        <v>128</v>
      </c>
      <c r="BP87" s="112" t="s">
        <v>129</v>
      </c>
      <c r="BQ87" s="112" t="s">
        <v>130</v>
      </c>
      <c r="BR87" s="112" t="s">
        <v>131</v>
      </c>
      <c r="BS87" s="112" t="s">
        <v>132</v>
      </c>
      <c r="BT87" s="112" t="s">
        <v>133</v>
      </c>
      <c r="BU87" s="112" t="s">
        <v>134</v>
      </c>
      <c r="BV87" s="112" t="s">
        <v>135</v>
      </c>
      <c r="BW87" s="112" t="s">
        <v>136</v>
      </c>
      <c r="BX87" s="112" t="s">
        <v>137</v>
      </c>
      <c r="BY87" s="112" t="s">
        <v>138</v>
      </c>
      <c r="BZ87" s="112" t="s">
        <v>139</v>
      </c>
      <c r="CA87" s="112" t="s">
        <v>140</v>
      </c>
      <c r="CB87" s="112" t="s">
        <v>141</v>
      </c>
      <c r="CC87" s="112" t="s">
        <v>142</v>
      </c>
      <c r="CD87" s="112" t="s">
        <v>143</v>
      </c>
      <c r="CE87" s="112" t="s">
        <v>144</v>
      </c>
      <c r="CF87" s="112" t="s">
        <v>145</v>
      </c>
      <c r="CG87" s="112" t="s">
        <v>146</v>
      </c>
      <c r="CH87" s="112" t="s">
        <v>147</v>
      </c>
      <c r="CI87" s="112" t="s">
        <v>148</v>
      </c>
      <c r="CJ87" s="112" t="s">
        <v>149</v>
      </c>
      <c r="CK87" s="112" t="s">
        <v>150</v>
      </c>
      <c r="CL87" s="112" t="s">
        <v>151</v>
      </c>
      <c r="CM87" s="112" t="s">
        <v>152</v>
      </c>
      <c r="CN87" s="112" t="s">
        <v>153</v>
      </c>
      <c r="CO87" s="112" t="s">
        <v>154</v>
      </c>
      <c r="CP87" s="112" t="s">
        <v>155</v>
      </c>
      <c r="CQ87" s="112" t="s">
        <v>156</v>
      </c>
      <c r="CR87" s="112" t="s">
        <v>157</v>
      </c>
      <c r="CS87" s="112" t="s">
        <v>158</v>
      </c>
      <c r="CT87" s="112" t="s">
        <v>159</v>
      </c>
    </row>
    <row r="88" spans="1:98" s="5" customFormat="1" ht="13" outlineLevel="1" x14ac:dyDescent="0.35">
      <c r="A88" s="247" t="s">
        <v>175</v>
      </c>
      <c r="B88" s="109" t="s">
        <v>17</v>
      </c>
      <c r="C88" s="242">
        <v>4000</v>
      </c>
      <c r="D88" s="239">
        <v>8000</v>
      </c>
      <c r="E88" s="239">
        <v>12000</v>
      </c>
      <c r="F88" s="239">
        <v>16000</v>
      </c>
      <c r="G88" s="239">
        <v>20000</v>
      </c>
      <c r="H88" s="239">
        <v>24001</v>
      </c>
      <c r="I88" s="239">
        <v>28001</v>
      </c>
      <c r="J88" s="239">
        <v>32001</v>
      </c>
      <c r="K88" s="239">
        <v>36001</v>
      </c>
      <c r="L88" s="239">
        <v>40001</v>
      </c>
      <c r="M88" s="239">
        <v>44001</v>
      </c>
      <c r="N88" s="239">
        <v>52001</v>
      </c>
      <c r="O88" s="242">
        <v>57220</v>
      </c>
      <c r="P88" s="239">
        <v>62438</v>
      </c>
      <c r="Q88" s="239">
        <v>67657</v>
      </c>
      <c r="R88" s="239">
        <v>72875</v>
      </c>
      <c r="S88" s="239">
        <v>78094</v>
      </c>
      <c r="T88" s="239">
        <v>83312</v>
      </c>
      <c r="U88" s="239">
        <v>88531</v>
      </c>
      <c r="V88" s="239">
        <v>93749</v>
      </c>
      <c r="W88" s="239">
        <v>98968</v>
      </c>
      <c r="X88" s="239">
        <v>104186</v>
      </c>
      <c r="Y88" s="239">
        <v>109405</v>
      </c>
      <c r="Z88" s="239">
        <v>114623</v>
      </c>
      <c r="AA88" s="242">
        <v>120190</v>
      </c>
      <c r="AB88" s="239">
        <v>125756</v>
      </c>
      <c r="AC88" s="239">
        <v>131323</v>
      </c>
      <c r="AD88" s="239">
        <v>136890</v>
      </c>
      <c r="AE88" s="239">
        <v>142456</v>
      </c>
      <c r="AF88" s="239">
        <v>148023</v>
      </c>
      <c r="AG88" s="239">
        <v>153590</v>
      </c>
      <c r="AH88" s="239">
        <v>159156</v>
      </c>
      <c r="AI88" s="239">
        <v>164723</v>
      </c>
      <c r="AJ88" s="239">
        <v>170290</v>
      </c>
      <c r="AK88" s="239">
        <v>175856</v>
      </c>
      <c r="AL88" s="239">
        <v>181423</v>
      </c>
      <c r="AM88" s="242">
        <v>187415</v>
      </c>
      <c r="AN88" s="239">
        <v>193407</v>
      </c>
      <c r="AO88" s="239">
        <v>199399</v>
      </c>
      <c r="AP88" s="239">
        <v>205391</v>
      </c>
      <c r="AQ88" s="239">
        <v>211383</v>
      </c>
      <c r="AR88" s="239">
        <v>217376</v>
      </c>
      <c r="AS88" s="239">
        <v>223368</v>
      </c>
      <c r="AT88" s="239">
        <v>229360</v>
      </c>
      <c r="AU88" s="239">
        <v>235352</v>
      </c>
      <c r="AV88" s="239">
        <v>241344</v>
      </c>
      <c r="AW88" s="239">
        <v>247336</v>
      </c>
      <c r="AX88" s="239">
        <v>253328</v>
      </c>
      <c r="AY88" s="239">
        <v>259396</v>
      </c>
      <c r="AZ88" s="239">
        <v>265464</v>
      </c>
      <c r="BA88" s="239">
        <v>271532</v>
      </c>
      <c r="BB88" s="239">
        <v>277600</v>
      </c>
      <c r="BC88" s="239">
        <v>283668</v>
      </c>
      <c r="BD88" s="239">
        <v>289736</v>
      </c>
      <c r="BE88" s="239">
        <v>295803</v>
      </c>
      <c r="BF88" s="239">
        <v>301871</v>
      </c>
      <c r="BG88" s="239">
        <v>307939</v>
      </c>
      <c r="BH88" s="239">
        <v>314007</v>
      </c>
      <c r="BI88" s="239">
        <v>320075</v>
      </c>
      <c r="BJ88" s="239">
        <v>326143</v>
      </c>
      <c r="BK88" s="239">
        <v>332351</v>
      </c>
      <c r="BL88" s="239">
        <v>338560</v>
      </c>
      <c r="BM88" s="239">
        <v>344768</v>
      </c>
      <c r="BN88" s="239">
        <v>350976</v>
      </c>
      <c r="BO88" s="239">
        <v>357185</v>
      </c>
      <c r="BP88" s="239">
        <v>363393</v>
      </c>
      <c r="BQ88" s="239">
        <v>369601</v>
      </c>
      <c r="BR88" s="239">
        <v>375810</v>
      </c>
      <c r="BS88" s="239">
        <v>382018</v>
      </c>
      <c r="BT88" s="239">
        <v>388226</v>
      </c>
      <c r="BU88" s="239">
        <v>394435</v>
      </c>
      <c r="BV88" s="239">
        <v>400643</v>
      </c>
      <c r="BW88" s="239">
        <v>406995</v>
      </c>
      <c r="BX88" s="239">
        <v>413347</v>
      </c>
      <c r="BY88" s="239">
        <v>419699</v>
      </c>
      <c r="BZ88" s="239">
        <v>426051</v>
      </c>
      <c r="CA88" s="239">
        <v>432403</v>
      </c>
      <c r="CB88" s="239">
        <v>438755</v>
      </c>
      <c r="CC88" s="239">
        <v>445107</v>
      </c>
      <c r="CD88" s="239">
        <v>451459</v>
      </c>
      <c r="CE88" s="239">
        <v>457811</v>
      </c>
      <c r="CF88" s="239">
        <v>464163</v>
      </c>
      <c r="CG88" s="239">
        <v>470515</v>
      </c>
      <c r="CH88" s="239">
        <v>476867</v>
      </c>
      <c r="CI88" s="239">
        <v>483366</v>
      </c>
      <c r="CJ88" s="239">
        <v>489865</v>
      </c>
      <c r="CK88" s="239">
        <v>496364</v>
      </c>
      <c r="CL88" s="239">
        <v>502863</v>
      </c>
      <c r="CM88" s="239">
        <v>509362</v>
      </c>
      <c r="CN88" s="239">
        <v>515861</v>
      </c>
      <c r="CO88" s="239">
        <v>522360</v>
      </c>
      <c r="CP88" s="239">
        <v>528859</v>
      </c>
      <c r="CQ88" s="239">
        <v>535358</v>
      </c>
      <c r="CR88" s="239">
        <v>541857</v>
      </c>
      <c r="CS88" s="239">
        <v>548356</v>
      </c>
      <c r="CT88" s="239">
        <v>554855</v>
      </c>
    </row>
    <row r="89" spans="1:98" s="5" customFormat="1" ht="13" outlineLevel="1" x14ac:dyDescent="0.3">
      <c r="A89" s="233" t="s">
        <v>756</v>
      </c>
      <c r="B89" s="234" t="s">
        <v>17</v>
      </c>
      <c r="C89" s="243">
        <v>4000</v>
      </c>
      <c r="D89" s="244">
        <v>8000</v>
      </c>
      <c r="E89" s="244">
        <v>12000</v>
      </c>
      <c r="F89" s="244">
        <v>16000</v>
      </c>
      <c r="G89" s="244">
        <v>20000</v>
      </c>
      <c r="H89" s="244">
        <v>24001</v>
      </c>
      <c r="I89" s="244">
        <v>28001</v>
      </c>
      <c r="J89" s="244">
        <v>32001</v>
      </c>
      <c r="K89" s="244">
        <v>36001</v>
      </c>
      <c r="L89" s="244">
        <v>40001</v>
      </c>
      <c r="M89" s="244">
        <v>44001</v>
      </c>
      <c r="N89" s="244">
        <v>52001</v>
      </c>
      <c r="O89" s="245">
        <v>57220</v>
      </c>
      <c r="P89" s="244">
        <v>62438</v>
      </c>
      <c r="Q89" s="244">
        <v>67657</v>
      </c>
      <c r="R89" s="244">
        <v>72875</v>
      </c>
      <c r="S89" s="244">
        <v>78094</v>
      </c>
      <c r="T89" s="244">
        <v>83312</v>
      </c>
      <c r="U89" s="244">
        <v>88531</v>
      </c>
      <c r="V89" s="244">
        <v>93749</v>
      </c>
      <c r="W89" s="244">
        <v>98968</v>
      </c>
      <c r="X89" s="244">
        <v>104186</v>
      </c>
      <c r="Y89" s="244">
        <v>109405</v>
      </c>
      <c r="Z89" s="244">
        <v>114623</v>
      </c>
      <c r="AA89" s="243">
        <v>120190</v>
      </c>
      <c r="AB89" s="244">
        <v>125756</v>
      </c>
      <c r="AC89" s="244">
        <v>131323</v>
      </c>
      <c r="AD89" s="244">
        <v>136890</v>
      </c>
      <c r="AE89" s="244">
        <v>142456</v>
      </c>
      <c r="AF89" s="244">
        <v>148023</v>
      </c>
      <c r="AG89" s="244">
        <v>153590</v>
      </c>
      <c r="AH89" s="244">
        <v>159156</v>
      </c>
      <c r="AI89" s="244">
        <v>164723</v>
      </c>
      <c r="AJ89" s="244">
        <v>170290</v>
      </c>
      <c r="AK89" s="244">
        <v>175856</v>
      </c>
      <c r="AL89" s="244">
        <v>181423</v>
      </c>
      <c r="AM89" s="243">
        <v>187415</v>
      </c>
      <c r="AN89" s="244">
        <v>193407</v>
      </c>
      <c r="AO89" s="244">
        <v>199399</v>
      </c>
      <c r="AP89" s="244">
        <v>205391</v>
      </c>
      <c r="AQ89" s="244">
        <v>211383</v>
      </c>
      <c r="AR89" s="244">
        <v>217376</v>
      </c>
      <c r="AS89" s="244">
        <v>223368</v>
      </c>
      <c r="AT89" s="244">
        <v>229360</v>
      </c>
      <c r="AU89" s="244">
        <v>235352</v>
      </c>
      <c r="AV89" s="244">
        <v>241344</v>
      </c>
      <c r="AW89" s="244">
        <v>247336</v>
      </c>
      <c r="AX89" s="244">
        <v>253328</v>
      </c>
      <c r="AY89" s="244">
        <v>259396</v>
      </c>
      <c r="AZ89" s="244">
        <v>265464</v>
      </c>
      <c r="BA89" s="244">
        <v>271532</v>
      </c>
      <c r="BB89" s="244">
        <v>277600</v>
      </c>
      <c r="BC89" s="244">
        <v>283668</v>
      </c>
      <c r="BD89" s="244">
        <v>289736</v>
      </c>
      <c r="BE89" s="244">
        <v>295803</v>
      </c>
      <c r="BF89" s="244">
        <v>301871</v>
      </c>
      <c r="BG89" s="244">
        <v>307939</v>
      </c>
      <c r="BH89" s="244">
        <v>314007</v>
      </c>
      <c r="BI89" s="244">
        <v>320075</v>
      </c>
      <c r="BJ89" s="244">
        <v>326143</v>
      </c>
      <c r="BK89" s="244">
        <v>332351</v>
      </c>
      <c r="BL89" s="244">
        <v>338560</v>
      </c>
      <c r="BM89" s="244">
        <v>344768</v>
      </c>
      <c r="BN89" s="244">
        <v>350976</v>
      </c>
      <c r="BO89" s="244">
        <v>357185</v>
      </c>
      <c r="BP89" s="244">
        <v>363393</v>
      </c>
      <c r="BQ89" s="244">
        <v>369601</v>
      </c>
      <c r="BR89" s="244">
        <v>375810</v>
      </c>
      <c r="BS89" s="244">
        <v>382018</v>
      </c>
      <c r="BT89" s="244">
        <v>388226</v>
      </c>
      <c r="BU89" s="244">
        <v>394435</v>
      </c>
      <c r="BV89" s="244">
        <v>400643</v>
      </c>
      <c r="BW89" s="246">
        <v>406995</v>
      </c>
      <c r="BX89" s="246">
        <v>413347</v>
      </c>
      <c r="BY89" s="246">
        <v>419699</v>
      </c>
      <c r="BZ89" s="246">
        <v>426051</v>
      </c>
      <c r="CA89" s="246">
        <v>432403</v>
      </c>
      <c r="CB89" s="246">
        <v>438755</v>
      </c>
      <c r="CC89" s="246">
        <v>445107</v>
      </c>
      <c r="CD89" s="246">
        <v>451459</v>
      </c>
      <c r="CE89" s="246">
        <v>457811</v>
      </c>
      <c r="CF89" s="246">
        <v>464163</v>
      </c>
      <c r="CG89" s="246">
        <v>470515</v>
      </c>
      <c r="CH89" s="246">
        <v>476867</v>
      </c>
      <c r="CI89" s="246">
        <v>483366</v>
      </c>
      <c r="CJ89" s="246">
        <v>489865</v>
      </c>
      <c r="CK89" s="246">
        <v>496364</v>
      </c>
      <c r="CL89" s="246">
        <v>502863</v>
      </c>
      <c r="CM89" s="246">
        <v>509362</v>
      </c>
      <c r="CN89" s="246">
        <v>515861</v>
      </c>
      <c r="CO89" s="246">
        <v>522360</v>
      </c>
      <c r="CP89" s="246">
        <v>528859</v>
      </c>
      <c r="CQ89" s="246">
        <v>535358</v>
      </c>
      <c r="CR89" s="246">
        <v>541857</v>
      </c>
      <c r="CS89" s="246">
        <v>548356</v>
      </c>
      <c r="CT89" s="246">
        <v>554855</v>
      </c>
    </row>
    <row r="90" spans="1:98" s="5" customFormat="1" ht="13" outlineLevel="1" x14ac:dyDescent="0.35">
      <c r="A90" s="235" t="s">
        <v>176</v>
      </c>
      <c r="B90" s="109" t="s">
        <v>17</v>
      </c>
      <c r="C90" s="236">
        <v>4000</v>
      </c>
      <c r="D90" s="237">
        <v>8000</v>
      </c>
      <c r="E90" s="237">
        <v>12000</v>
      </c>
      <c r="F90" s="237">
        <v>16000</v>
      </c>
      <c r="G90" s="237">
        <v>20000</v>
      </c>
      <c r="H90" s="237">
        <v>24001</v>
      </c>
      <c r="I90" s="237">
        <v>28001</v>
      </c>
      <c r="J90" s="237">
        <v>32001</v>
      </c>
      <c r="K90" s="237">
        <v>36001</v>
      </c>
      <c r="L90" s="237">
        <v>40001</v>
      </c>
      <c r="M90" s="237">
        <v>44001</v>
      </c>
      <c r="N90" s="237">
        <v>52001</v>
      </c>
      <c r="O90" s="237">
        <v>57220</v>
      </c>
      <c r="P90" s="237">
        <v>62438</v>
      </c>
      <c r="Q90" s="237">
        <v>67657</v>
      </c>
      <c r="R90" s="237">
        <v>72875</v>
      </c>
      <c r="S90" s="237">
        <v>78094</v>
      </c>
      <c r="T90" s="237">
        <v>83312</v>
      </c>
      <c r="U90" s="237">
        <v>88531</v>
      </c>
      <c r="V90" s="237">
        <v>93749</v>
      </c>
      <c r="W90" s="237">
        <v>98968</v>
      </c>
      <c r="X90" s="237">
        <v>104186</v>
      </c>
      <c r="Y90" s="237">
        <v>109405</v>
      </c>
      <c r="Z90" s="237">
        <v>114623</v>
      </c>
      <c r="AA90" s="237">
        <v>120190</v>
      </c>
      <c r="AB90" s="237">
        <v>125756</v>
      </c>
      <c r="AC90" s="237">
        <v>131323</v>
      </c>
      <c r="AD90" s="237">
        <v>136890</v>
      </c>
      <c r="AE90" s="237">
        <v>142456</v>
      </c>
      <c r="AF90" s="237">
        <v>148023</v>
      </c>
      <c r="AG90" s="237">
        <v>153590</v>
      </c>
      <c r="AH90" s="237">
        <v>159156</v>
      </c>
      <c r="AI90" s="237">
        <v>164723</v>
      </c>
      <c r="AJ90" s="237">
        <v>170290</v>
      </c>
      <c r="AK90" s="237">
        <v>175856</v>
      </c>
      <c r="AL90" s="237">
        <v>181423</v>
      </c>
      <c r="AM90" s="237">
        <v>187415</v>
      </c>
      <c r="AN90" s="237">
        <v>193407</v>
      </c>
      <c r="AO90" s="237">
        <v>199399</v>
      </c>
      <c r="AP90" s="237">
        <v>205391</v>
      </c>
      <c r="AQ90" s="237">
        <v>211383</v>
      </c>
      <c r="AR90" s="237">
        <v>217376</v>
      </c>
      <c r="AS90" s="237">
        <v>223368</v>
      </c>
      <c r="AT90" s="237">
        <v>229360</v>
      </c>
      <c r="AU90" s="237">
        <v>235352</v>
      </c>
      <c r="AV90" s="237">
        <v>241344</v>
      </c>
      <c r="AW90" s="237">
        <v>247336</v>
      </c>
      <c r="AX90" s="237">
        <v>253328</v>
      </c>
      <c r="AY90" s="237">
        <v>259396</v>
      </c>
      <c r="AZ90" s="237">
        <v>265464</v>
      </c>
      <c r="BA90" s="237">
        <v>271532</v>
      </c>
      <c r="BB90" s="237">
        <v>277600</v>
      </c>
      <c r="BC90" s="237">
        <v>283668</v>
      </c>
      <c r="BD90" s="237">
        <v>289736</v>
      </c>
      <c r="BE90" s="237">
        <v>295803</v>
      </c>
      <c r="BF90" s="237">
        <v>301871</v>
      </c>
      <c r="BG90" s="237">
        <v>307939</v>
      </c>
      <c r="BH90" s="237">
        <v>314007</v>
      </c>
      <c r="BI90" s="237">
        <v>320075</v>
      </c>
      <c r="BJ90" s="237">
        <v>326143</v>
      </c>
      <c r="BK90" s="237">
        <v>332351</v>
      </c>
      <c r="BL90" s="237">
        <v>338560</v>
      </c>
      <c r="BM90" s="237">
        <v>344768</v>
      </c>
      <c r="BN90" s="237">
        <v>350976</v>
      </c>
      <c r="BO90" s="237">
        <v>357185</v>
      </c>
      <c r="BP90" s="237">
        <v>363393</v>
      </c>
      <c r="BQ90" s="237">
        <v>369601</v>
      </c>
      <c r="BR90" s="237">
        <v>375810</v>
      </c>
      <c r="BS90" s="237">
        <v>382018</v>
      </c>
      <c r="BT90" s="237">
        <v>388226</v>
      </c>
      <c r="BU90" s="237">
        <v>394435</v>
      </c>
      <c r="BV90" s="237">
        <v>400643</v>
      </c>
      <c r="BW90" s="237">
        <v>406995</v>
      </c>
      <c r="BX90" s="237">
        <v>413347</v>
      </c>
      <c r="BY90" s="237">
        <v>419699</v>
      </c>
      <c r="BZ90" s="237">
        <v>426051</v>
      </c>
      <c r="CA90" s="237">
        <v>432403</v>
      </c>
      <c r="CB90" s="237">
        <v>438755</v>
      </c>
      <c r="CC90" s="237">
        <v>445107</v>
      </c>
      <c r="CD90" s="237">
        <v>451459</v>
      </c>
      <c r="CE90" s="237">
        <v>457811</v>
      </c>
      <c r="CF90" s="237">
        <v>464163</v>
      </c>
      <c r="CG90" s="237">
        <v>470515</v>
      </c>
      <c r="CH90" s="237">
        <v>476867</v>
      </c>
      <c r="CI90" s="237">
        <v>483366</v>
      </c>
      <c r="CJ90" s="237">
        <v>489865</v>
      </c>
      <c r="CK90" s="237">
        <v>496364</v>
      </c>
      <c r="CL90" s="237">
        <v>502863</v>
      </c>
      <c r="CM90" s="237">
        <v>509362</v>
      </c>
      <c r="CN90" s="237">
        <v>515861</v>
      </c>
      <c r="CO90" s="237">
        <v>522360</v>
      </c>
      <c r="CP90" s="237">
        <v>528859</v>
      </c>
      <c r="CQ90" s="237">
        <v>535358</v>
      </c>
      <c r="CR90" s="237">
        <v>541857</v>
      </c>
      <c r="CS90" s="237">
        <v>548356</v>
      </c>
      <c r="CT90" s="238">
        <v>554855</v>
      </c>
    </row>
    <row r="91" spans="1:98" s="5" customFormat="1" ht="13" outlineLevel="1" x14ac:dyDescent="0.35">
      <c r="A91" s="235" t="s">
        <v>177</v>
      </c>
      <c r="B91" s="239" t="s">
        <v>727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7"/>
      <c r="AN91" s="237"/>
      <c r="AO91" s="237"/>
      <c r="AP91" s="237"/>
      <c r="AQ91" s="237"/>
      <c r="AR91" s="237"/>
      <c r="AS91" s="237"/>
      <c r="AT91" s="237"/>
      <c r="AU91" s="237"/>
      <c r="AV91" s="237"/>
      <c r="AW91" s="237"/>
      <c r="AX91" s="237"/>
      <c r="AY91" s="237"/>
      <c r="AZ91" s="237"/>
      <c r="BA91" s="237"/>
      <c r="BB91" s="237"/>
      <c r="BC91" s="237"/>
      <c r="BD91" s="237"/>
      <c r="BE91" s="237"/>
      <c r="BF91" s="237"/>
      <c r="BG91" s="237"/>
      <c r="BH91" s="237"/>
      <c r="BI91" s="237"/>
      <c r="BJ91" s="237"/>
      <c r="BK91" s="237"/>
      <c r="BL91" s="237"/>
      <c r="BM91" s="237"/>
      <c r="BN91" s="237"/>
      <c r="BO91" s="237"/>
      <c r="BP91" s="237"/>
      <c r="BQ91" s="237"/>
      <c r="BR91" s="237"/>
      <c r="BS91" s="237"/>
      <c r="BT91" s="237"/>
      <c r="BU91" s="237"/>
      <c r="BV91" s="237"/>
      <c r="BW91" s="237"/>
      <c r="BX91" s="237"/>
      <c r="BY91" s="237"/>
      <c r="BZ91" s="237"/>
      <c r="CA91" s="237"/>
      <c r="CB91" s="237"/>
      <c r="CC91" s="237"/>
      <c r="CD91" s="237"/>
      <c r="CE91" s="237"/>
      <c r="CF91" s="237"/>
      <c r="CG91" s="237"/>
      <c r="CH91" s="237"/>
      <c r="CI91" s="237"/>
      <c r="CJ91" s="237"/>
      <c r="CK91" s="237"/>
      <c r="CL91" s="237"/>
      <c r="CM91" s="237"/>
      <c r="CN91" s="237"/>
      <c r="CO91" s="237"/>
      <c r="CP91" s="237"/>
      <c r="CQ91" s="237"/>
      <c r="CR91" s="237"/>
      <c r="CS91" s="237"/>
      <c r="CT91" s="238"/>
    </row>
    <row r="92" spans="1:98" s="5" customFormat="1" ht="13" outlineLevel="1" x14ac:dyDescent="0.35">
      <c r="A92" s="235" t="s">
        <v>178</v>
      </c>
      <c r="B92" s="109" t="s">
        <v>17</v>
      </c>
      <c r="C92" s="237">
        <v>4039</v>
      </c>
      <c r="D92" s="237">
        <v>8078</v>
      </c>
      <c r="E92" s="237">
        <v>12118</v>
      </c>
      <c r="F92" s="237">
        <v>16157</v>
      </c>
      <c r="G92" s="237">
        <v>20196</v>
      </c>
      <c r="H92" s="237">
        <v>24235</v>
      </c>
      <c r="I92" s="237">
        <v>28274</v>
      </c>
      <c r="J92" s="237">
        <v>32313</v>
      </c>
      <c r="K92" s="237">
        <v>36353</v>
      </c>
      <c r="L92" s="237">
        <v>40392</v>
      </c>
      <c r="M92" s="237">
        <v>44431</v>
      </c>
      <c r="N92" s="237">
        <v>52509</v>
      </c>
      <c r="O92" s="237">
        <v>57780</v>
      </c>
      <c r="P92" s="237">
        <v>63052</v>
      </c>
      <c r="Q92" s="237">
        <v>68323</v>
      </c>
      <c r="R92" s="237">
        <v>73595</v>
      </c>
      <c r="S92" s="237">
        <v>78866</v>
      </c>
      <c r="T92" s="237">
        <v>84138</v>
      </c>
      <c r="U92" s="237">
        <v>89409</v>
      </c>
      <c r="V92" s="237">
        <v>94680</v>
      </c>
      <c r="W92" s="237">
        <v>99952</v>
      </c>
      <c r="X92" s="237">
        <v>105223</v>
      </c>
      <c r="Y92" s="237">
        <v>110495</v>
      </c>
      <c r="Z92" s="237">
        <v>115766</v>
      </c>
      <c r="AA92" s="237">
        <v>121386</v>
      </c>
      <c r="AB92" s="237">
        <v>127007</v>
      </c>
      <c r="AC92" s="237">
        <v>132627</v>
      </c>
      <c r="AD92" s="237">
        <v>138247</v>
      </c>
      <c r="AE92" s="237">
        <v>143867</v>
      </c>
      <c r="AF92" s="237">
        <v>149488</v>
      </c>
      <c r="AG92" s="237">
        <v>155108</v>
      </c>
      <c r="AH92" s="237">
        <v>160728</v>
      </c>
      <c r="AI92" s="237">
        <v>166348</v>
      </c>
      <c r="AJ92" s="237">
        <v>171969</v>
      </c>
      <c r="AK92" s="237">
        <v>177589</v>
      </c>
      <c r="AL92" s="237">
        <v>183209</v>
      </c>
      <c r="AM92" s="237">
        <v>189246</v>
      </c>
      <c r="AN92" s="237">
        <v>195282</v>
      </c>
      <c r="AO92" s="237">
        <v>201319</v>
      </c>
      <c r="AP92" s="237">
        <v>207356</v>
      </c>
      <c r="AQ92" s="237">
        <v>213392</v>
      </c>
      <c r="AR92" s="237">
        <v>219429</v>
      </c>
      <c r="AS92" s="237">
        <v>225466</v>
      </c>
      <c r="AT92" s="237">
        <v>231502</v>
      </c>
      <c r="AU92" s="237">
        <v>237539</v>
      </c>
      <c r="AV92" s="237">
        <v>243576</v>
      </c>
      <c r="AW92" s="237">
        <v>249612</v>
      </c>
      <c r="AX92" s="237">
        <v>255649</v>
      </c>
      <c r="AY92" s="237">
        <v>261753</v>
      </c>
      <c r="AZ92" s="237">
        <v>267857</v>
      </c>
      <c r="BA92" s="237">
        <v>273960</v>
      </c>
      <c r="BB92" s="237">
        <v>280064</v>
      </c>
      <c r="BC92" s="237">
        <v>286168</v>
      </c>
      <c r="BD92" s="237">
        <v>292272</v>
      </c>
      <c r="BE92" s="237">
        <v>298375</v>
      </c>
      <c r="BF92" s="237">
        <v>304479</v>
      </c>
      <c r="BG92" s="237">
        <v>310583</v>
      </c>
      <c r="BH92" s="237">
        <v>316687</v>
      </c>
      <c r="BI92" s="237">
        <v>322790</v>
      </c>
      <c r="BJ92" s="237">
        <v>328894</v>
      </c>
      <c r="BK92" s="237">
        <v>335129</v>
      </c>
      <c r="BL92" s="237">
        <v>341365</v>
      </c>
      <c r="BM92" s="237">
        <v>347600</v>
      </c>
      <c r="BN92" s="237">
        <v>353835</v>
      </c>
      <c r="BO92" s="237">
        <v>360070</v>
      </c>
      <c r="BP92" s="237">
        <v>366306</v>
      </c>
      <c r="BQ92" s="237">
        <v>372541</v>
      </c>
      <c r="BR92" s="237">
        <v>378776</v>
      </c>
      <c r="BS92" s="237">
        <v>385011</v>
      </c>
      <c r="BT92" s="237">
        <v>391247</v>
      </c>
      <c r="BU92" s="237">
        <v>397482</v>
      </c>
      <c r="BV92" s="237">
        <v>403717</v>
      </c>
      <c r="BW92" s="237">
        <v>410086</v>
      </c>
      <c r="BX92" s="237">
        <v>416456</v>
      </c>
      <c r="BY92" s="237">
        <v>422825</v>
      </c>
      <c r="BZ92" s="237">
        <v>429195</v>
      </c>
      <c r="CA92" s="237">
        <v>435564</v>
      </c>
      <c r="CB92" s="237">
        <v>441934</v>
      </c>
      <c r="CC92" s="237">
        <v>448303</v>
      </c>
      <c r="CD92" s="237">
        <v>454672</v>
      </c>
      <c r="CE92" s="237">
        <v>461042</v>
      </c>
      <c r="CF92" s="237">
        <v>467411</v>
      </c>
      <c r="CG92" s="237">
        <v>473781</v>
      </c>
      <c r="CH92" s="237">
        <v>480150</v>
      </c>
      <c r="CI92" s="237">
        <v>486657</v>
      </c>
      <c r="CJ92" s="237">
        <v>493163</v>
      </c>
      <c r="CK92" s="237">
        <v>499670</v>
      </c>
      <c r="CL92" s="237">
        <v>506176</v>
      </c>
      <c r="CM92" s="237">
        <v>512683</v>
      </c>
      <c r="CN92" s="237">
        <v>519190</v>
      </c>
      <c r="CO92" s="237">
        <v>525696</v>
      </c>
      <c r="CP92" s="237">
        <v>532203</v>
      </c>
      <c r="CQ92" s="237">
        <v>538709</v>
      </c>
      <c r="CR92" s="237">
        <v>545216</v>
      </c>
      <c r="CS92" s="237">
        <v>551722</v>
      </c>
      <c r="CT92" s="238">
        <v>558229</v>
      </c>
    </row>
    <row r="93" spans="1:98" s="5" customFormat="1" ht="13" outlineLevel="1" x14ac:dyDescent="0.35">
      <c r="A93" s="233" t="s">
        <v>819</v>
      </c>
      <c r="B93" s="109" t="s">
        <v>17</v>
      </c>
      <c r="C93" s="237">
        <v>4039</v>
      </c>
      <c r="D93" s="237">
        <v>8078</v>
      </c>
      <c r="E93" s="237">
        <v>12118</v>
      </c>
      <c r="F93" s="237">
        <v>16157</v>
      </c>
      <c r="G93" s="237">
        <v>20196</v>
      </c>
      <c r="H93" s="237">
        <v>24235</v>
      </c>
      <c r="I93" s="237">
        <v>28274</v>
      </c>
      <c r="J93" s="237">
        <v>32313</v>
      </c>
      <c r="K93" s="237">
        <v>36353</v>
      </c>
      <c r="L93" s="237">
        <v>40392</v>
      </c>
      <c r="M93" s="237">
        <v>44431</v>
      </c>
      <c r="N93" s="237">
        <v>52509</v>
      </c>
      <c r="O93" s="237">
        <v>57780</v>
      </c>
      <c r="P93" s="237">
        <v>63052</v>
      </c>
      <c r="Q93" s="237">
        <v>68323</v>
      </c>
      <c r="R93" s="237">
        <v>73595</v>
      </c>
      <c r="S93" s="237">
        <v>78866</v>
      </c>
      <c r="T93" s="237">
        <v>84138</v>
      </c>
      <c r="U93" s="237">
        <v>89409</v>
      </c>
      <c r="V93" s="237">
        <v>94680</v>
      </c>
      <c r="W93" s="237">
        <v>99952</v>
      </c>
      <c r="X93" s="237">
        <v>105223</v>
      </c>
      <c r="Y93" s="237">
        <v>110495</v>
      </c>
      <c r="Z93" s="237">
        <v>115766</v>
      </c>
      <c r="AA93" s="237">
        <v>121386</v>
      </c>
      <c r="AB93" s="237">
        <v>127007</v>
      </c>
      <c r="AC93" s="237">
        <v>132627</v>
      </c>
      <c r="AD93" s="237">
        <v>138247</v>
      </c>
      <c r="AE93" s="237">
        <v>143867</v>
      </c>
      <c r="AF93" s="237">
        <v>149488</v>
      </c>
      <c r="AG93" s="237">
        <v>155108</v>
      </c>
      <c r="AH93" s="237">
        <v>160728</v>
      </c>
      <c r="AI93" s="237">
        <v>166348</v>
      </c>
      <c r="AJ93" s="237">
        <v>171969</v>
      </c>
      <c r="AK93" s="237">
        <v>177589</v>
      </c>
      <c r="AL93" s="237">
        <v>183209</v>
      </c>
      <c r="AM93" s="237">
        <v>189246</v>
      </c>
      <c r="AN93" s="237">
        <v>195282</v>
      </c>
      <c r="AO93" s="237">
        <v>201319</v>
      </c>
      <c r="AP93" s="237">
        <v>207356</v>
      </c>
      <c r="AQ93" s="237">
        <v>213392</v>
      </c>
      <c r="AR93" s="237">
        <v>219429</v>
      </c>
      <c r="AS93" s="237">
        <v>225466</v>
      </c>
      <c r="AT93" s="237">
        <v>231502</v>
      </c>
      <c r="AU93" s="237">
        <v>237539</v>
      </c>
      <c r="AV93" s="237">
        <v>243576</v>
      </c>
      <c r="AW93" s="237">
        <v>249612</v>
      </c>
      <c r="AX93" s="237">
        <v>255649</v>
      </c>
      <c r="AY93" s="237">
        <v>261753</v>
      </c>
      <c r="AZ93" s="237">
        <v>267857</v>
      </c>
      <c r="BA93" s="237">
        <v>273960</v>
      </c>
      <c r="BB93" s="237">
        <v>280064</v>
      </c>
      <c r="BC93" s="237">
        <v>286168</v>
      </c>
      <c r="BD93" s="237">
        <v>292272</v>
      </c>
      <c r="BE93" s="237">
        <v>298375</v>
      </c>
      <c r="BF93" s="237">
        <v>304479</v>
      </c>
      <c r="BG93" s="237">
        <v>310583</v>
      </c>
      <c r="BH93" s="237">
        <v>316687</v>
      </c>
      <c r="BI93" s="237">
        <v>322790</v>
      </c>
      <c r="BJ93" s="237">
        <v>328894</v>
      </c>
      <c r="BK93" s="237">
        <v>335129</v>
      </c>
      <c r="BL93" s="237">
        <v>341365</v>
      </c>
      <c r="BM93" s="237">
        <v>347600</v>
      </c>
      <c r="BN93" s="237">
        <v>353835</v>
      </c>
      <c r="BO93" s="237">
        <v>360070</v>
      </c>
      <c r="BP93" s="237">
        <v>366306</v>
      </c>
      <c r="BQ93" s="237">
        <v>372541</v>
      </c>
      <c r="BR93" s="237">
        <v>378776</v>
      </c>
      <c r="BS93" s="237">
        <v>385011</v>
      </c>
      <c r="BT93" s="237">
        <v>391247</v>
      </c>
      <c r="BU93" s="237">
        <v>397482</v>
      </c>
      <c r="BV93" s="237">
        <v>403717</v>
      </c>
      <c r="BW93" s="237">
        <v>410086</v>
      </c>
      <c r="BX93" s="237">
        <v>416456</v>
      </c>
      <c r="BY93" s="237">
        <v>422825</v>
      </c>
      <c r="BZ93" s="237">
        <v>429195</v>
      </c>
      <c r="CA93" s="237">
        <v>435564</v>
      </c>
      <c r="CB93" s="237">
        <v>441934</v>
      </c>
      <c r="CC93" s="237">
        <v>448303</v>
      </c>
      <c r="CD93" s="237">
        <v>454672</v>
      </c>
      <c r="CE93" s="237">
        <v>461042</v>
      </c>
      <c r="CF93" s="237">
        <v>467411</v>
      </c>
      <c r="CG93" s="237">
        <v>473781</v>
      </c>
      <c r="CH93" s="237">
        <v>480150</v>
      </c>
      <c r="CI93" s="237">
        <v>486657</v>
      </c>
      <c r="CJ93" s="237">
        <v>493163</v>
      </c>
      <c r="CK93" s="237">
        <v>499670</v>
      </c>
      <c r="CL93" s="237">
        <v>506176</v>
      </c>
      <c r="CM93" s="237">
        <v>512683</v>
      </c>
      <c r="CN93" s="237">
        <v>519190</v>
      </c>
      <c r="CO93" s="237">
        <v>525696</v>
      </c>
      <c r="CP93" s="237">
        <v>532203</v>
      </c>
      <c r="CQ93" s="237">
        <v>538709</v>
      </c>
      <c r="CR93" s="237">
        <v>545216</v>
      </c>
      <c r="CS93" s="237">
        <v>551722</v>
      </c>
      <c r="CT93" s="238">
        <v>558229</v>
      </c>
    </row>
    <row r="94" spans="1:98" s="5" customFormat="1" ht="13" outlineLevel="1" x14ac:dyDescent="0.35">
      <c r="A94" s="235" t="s">
        <v>179</v>
      </c>
      <c r="B94" s="109" t="s">
        <v>17</v>
      </c>
      <c r="C94" s="237">
        <v>4039</v>
      </c>
      <c r="D94" s="237">
        <v>8078</v>
      </c>
      <c r="E94" s="237">
        <v>12118</v>
      </c>
      <c r="F94" s="237">
        <v>16157</v>
      </c>
      <c r="G94" s="237">
        <v>20196</v>
      </c>
      <c r="H94" s="237">
        <v>24235</v>
      </c>
      <c r="I94" s="237">
        <v>28274</v>
      </c>
      <c r="J94" s="237">
        <v>32313</v>
      </c>
      <c r="K94" s="237">
        <v>36353</v>
      </c>
      <c r="L94" s="237">
        <v>40392</v>
      </c>
      <c r="M94" s="237">
        <v>44431</v>
      </c>
      <c r="N94" s="237">
        <v>52509</v>
      </c>
      <c r="O94" s="237">
        <v>57780</v>
      </c>
      <c r="P94" s="237">
        <v>63052</v>
      </c>
      <c r="Q94" s="237">
        <v>68323</v>
      </c>
      <c r="R94" s="237">
        <v>73595</v>
      </c>
      <c r="S94" s="237">
        <v>78866</v>
      </c>
      <c r="T94" s="237">
        <v>84138</v>
      </c>
      <c r="U94" s="237">
        <v>89409</v>
      </c>
      <c r="V94" s="237">
        <v>94680</v>
      </c>
      <c r="W94" s="237">
        <v>99952</v>
      </c>
      <c r="X94" s="237">
        <v>105223</v>
      </c>
      <c r="Y94" s="237">
        <v>110495</v>
      </c>
      <c r="Z94" s="237">
        <v>115766</v>
      </c>
      <c r="AA94" s="237">
        <v>121386</v>
      </c>
      <c r="AB94" s="237">
        <v>127007</v>
      </c>
      <c r="AC94" s="237">
        <v>132627</v>
      </c>
      <c r="AD94" s="237">
        <v>138247</v>
      </c>
      <c r="AE94" s="237">
        <v>143867</v>
      </c>
      <c r="AF94" s="237">
        <v>149488</v>
      </c>
      <c r="AG94" s="237">
        <v>155108</v>
      </c>
      <c r="AH94" s="237">
        <v>160728</v>
      </c>
      <c r="AI94" s="237">
        <v>166348</v>
      </c>
      <c r="AJ94" s="237">
        <v>171969</v>
      </c>
      <c r="AK94" s="237">
        <v>177589</v>
      </c>
      <c r="AL94" s="237">
        <v>183209</v>
      </c>
      <c r="AM94" s="237">
        <v>189246</v>
      </c>
      <c r="AN94" s="237">
        <v>195282</v>
      </c>
      <c r="AO94" s="237">
        <v>201319</v>
      </c>
      <c r="AP94" s="237">
        <v>207356</v>
      </c>
      <c r="AQ94" s="237">
        <v>213392</v>
      </c>
      <c r="AR94" s="237">
        <v>219429</v>
      </c>
      <c r="AS94" s="237">
        <v>225466</v>
      </c>
      <c r="AT94" s="237">
        <v>231502</v>
      </c>
      <c r="AU94" s="237">
        <v>237539</v>
      </c>
      <c r="AV94" s="237">
        <v>243576</v>
      </c>
      <c r="AW94" s="237">
        <v>249612</v>
      </c>
      <c r="AX94" s="237">
        <v>255649</v>
      </c>
      <c r="AY94" s="237">
        <v>261753</v>
      </c>
      <c r="AZ94" s="237">
        <v>267857</v>
      </c>
      <c r="BA94" s="237">
        <v>273960</v>
      </c>
      <c r="BB94" s="237">
        <v>280064</v>
      </c>
      <c r="BC94" s="237">
        <v>286168</v>
      </c>
      <c r="BD94" s="237">
        <v>292272</v>
      </c>
      <c r="BE94" s="237">
        <v>298375</v>
      </c>
      <c r="BF94" s="237">
        <v>304479</v>
      </c>
      <c r="BG94" s="237">
        <v>310583</v>
      </c>
      <c r="BH94" s="237">
        <v>316687</v>
      </c>
      <c r="BI94" s="237">
        <v>322790</v>
      </c>
      <c r="BJ94" s="237">
        <v>328894</v>
      </c>
      <c r="BK94" s="237">
        <v>335129</v>
      </c>
      <c r="BL94" s="237">
        <v>341365</v>
      </c>
      <c r="BM94" s="237">
        <v>347600</v>
      </c>
      <c r="BN94" s="237">
        <v>353835</v>
      </c>
      <c r="BO94" s="237">
        <v>360070</v>
      </c>
      <c r="BP94" s="237">
        <v>366306</v>
      </c>
      <c r="BQ94" s="237">
        <v>372541</v>
      </c>
      <c r="BR94" s="237">
        <v>378776</v>
      </c>
      <c r="BS94" s="237">
        <v>385011</v>
      </c>
      <c r="BT94" s="237">
        <v>391247</v>
      </c>
      <c r="BU94" s="237">
        <v>397482</v>
      </c>
      <c r="BV94" s="237">
        <v>403717</v>
      </c>
      <c r="BW94" s="237">
        <v>410086</v>
      </c>
      <c r="BX94" s="237">
        <v>416456</v>
      </c>
      <c r="BY94" s="237">
        <v>422825</v>
      </c>
      <c r="BZ94" s="237">
        <v>429195</v>
      </c>
      <c r="CA94" s="237">
        <v>435564</v>
      </c>
      <c r="CB94" s="237">
        <v>441934</v>
      </c>
      <c r="CC94" s="237">
        <v>448303</v>
      </c>
      <c r="CD94" s="237">
        <v>454672</v>
      </c>
      <c r="CE94" s="237">
        <v>461042</v>
      </c>
      <c r="CF94" s="237">
        <v>467411</v>
      </c>
      <c r="CG94" s="237">
        <v>473781</v>
      </c>
      <c r="CH94" s="237">
        <v>480150</v>
      </c>
      <c r="CI94" s="237">
        <v>486657</v>
      </c>
      <c r="CJ94" s="237">
        <v>493163</v>
      </c>
      <c r="CK94" s="237">
        <v>499670</v>
      </c>
      <c r="CL94" s="237">
        <v>506176</v>
      </c>
      <c r="CM94" s="237">
        <v>512683</v>
      </c>
      <c r="CN94" s="237">
        <v>519190</v>
      </c>
      <c r="CO94" s="237">
        <v>525696</v>
      </c>
      <c r="CP94" s="237">
        <v>532203</v>
      </c>
      <c r="CQ94" s="237">
        <v>538709</v>
      </c>
      <c r="CR94" s="237">
        <v>545216</v>
      </c>
      <c r="CS94" s="237">
        <v>551722</v>
      </c>
      <c r="CT94" s="238">
        <v>558229</v>
      </c>
    </row>
    <row r="95" spans="1:98" s="5" customFormat="1" ht="13" outlineLevel="1" x14ac:dyDescent="0.35">
      <c r="A95" s="235" t="s">
        <v>180</v>
      </c>
      <c r="B95" s="239" t="s">
        <v>727</v>
      </c>
      <c r="C95" s="237"/>
      <c r="D95" s="237"/>
      <c r="E95" s="237"/>
      <c r="F95" s="237"/>
      <c r="G95" s="237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7"/>
      <c r="AN95" s="237"/>
      <c r="AO95" s="237"/>
      <c r="AP95" s="237"/>
      <c r="AQ95" s="237"/>
      <c r="AR95" s="237"/>
      <c r="AS95" s="237"/>
      <c r="AT95" s="237"/>
      <c r="AU95" s="237"/>
      <c r="AV95" s="237"/>
      <c r="AW95" s="237"/>
      <c r="AX95" s="237"/>
      <c r="AY95" s="237"/>
      <c r="AZ95" s="237"/>
      <c r="BA95" s="237"/>
      <c r="BB95" s="237"/>
      <c r="BC95" s="237"/>
      <c r="BD95" s="237"/>
      <c r="BE95" s="237"/>
      <c r="BF95" s="237"/>
      <c r="BG95" s="237"/>
      <c r="BH95" s="237"/>
      <c r="BI95" s="237"/>
      <c r="BJ95" s="237"/>
      <c r="BK95" s="237"/>
      <c r="BL95" s="237"/>
      <c r="BM95" s="237"/>
      <c r="BN95" s="237"/>
      <c r="BO95" s="237"/>
      <c r="BP95" s="237"/>
      <c r="BQ95" s="237"/>
      <c r="BR95" s="237"/>
      <c r="BS95" s="237"/>
      <c r="BT95" s="237"/>
      <c r="BU95" s="237"/>
      <c r="BV95" s="237"/>
      <c r="BW95" s="237"/>
      <c r="BX95" s="237"/>
      <c r="BY95" s="237"/>
      <c r="BZ95" s="237"/>
      <c r="CA95" s="237"/>
      <c r="CB95" s="237"/>
      <c r="CC95" s="237"/>
      <c r="CD95" s="237"/>
      <c r="CE95" s="237"/>
      <c r="CF95" s="237"/>
      <c r="CG95" s="237"/>
      <c r="CH95" s="237"/>
      <c r="CI95" s="237"/>
      <c r="CJ95" s="237"/>
      <c r="CK95" s="237"/>
      <c r="CL95" s="237"/>
      <c r="CM95" s="237"/>
      <c r="CN95" s="237"/>
      <c r="CO95" s="237"/>
      <c r="CP95" s="237"/>
      <c r="CQ95" s="237"/>
      <c r="CR95" s="237"/>
      <c r="CS95" s="237"/>
      <c r="CT95" s="238"/>
    </row>
    <row r="96" spans="1:98" s="5" customFormat="1" ht="13" outlineLevel="1" x14ac:dyDescent="0.35">
      <c r="A96" s="235" t="s">
        <v>38</v>
      </c>
      <c r="B96" s="109" t="s">
        <v>17</v>
      </c>
      <c r="C96" s="237">
        <v>6255</v>
      </c>
      <c r="D96" s="237">
        <v>12510</v>
      </c>
      <c r="E96" s="237">
        <v>18765</v>
      </c>
      <c r="F96" s="237">
        <v>25020</v>
      </c>
      <c r="G96" s="237">
        <v>31275</v>
      </c>
      <c r="H96" s="237">
        <v>37530</v>
      </c>
      <c r="I96" s="237">
        <v>43785</v>
      </c>
      <c r="J96" s="237">
        <v>50040</v>
      </c>
      <c r="K96" s="237">
        <v>56295</v>
      </c>
      <c r="L96" s="237">
        <v>62550</v>
      </c>
      <c r="M96" s="237">
        <v>68805</v>
      </c>
      <c r="N96" s="237">
        <v>81315</v>
      </c>
      <c r="O96" s="237">
        <v>88248</v>
      </c>
      <c r="P96" s="237">
        <v>95181</v>
      </c>
      <c r="Q96" s="237">
        <v>102115</v>
      </c>
      <c r="R96" s="237">
        <v>109048</v>
      </c>
      <c r="S96" s="237">
        <v>115981</v>
      </c>
      <c r="T96" s="237">
        <v>122914</v>
      </c>
      <c r="U96" s="237">
        <v>129847</v>
      </c>
      <c r="V96" s="237">
        <v>136780</v>
      </c>
      <c r="W96" s="237">
        <v>143714</v>
      </c>
      <c r="X96" s="237">
        <v>150647</v>
      </c>
      <c r="Y96" s="237">
        <v>157580</v>
      </c>
      <c r="Z96" s="237">
        <v>164513</v>
      </c>
      <c r="AA96" s="237">
        <v>171607</v>
      </c>
      <c r="AB96" s="237">
        <v>178700</v>
      </c>
      <c r="AC96" s="237">
        <v>185794</v>
      </c>
      <c r="AD96" s="237">
        <v>192888</v>
      </c>
      <c r="AE96" s="237">
        <v>199981</v>
      </c>
      <c r="AF96" s="237">
        <v>207075</v>
      </c>
      <c r="AG96" s="237">
        <v>214169</v>
      </c>
      <c r="AH96" s="237">
        <v>221262</v>
      </c>
      <c r="AI96" s="237">
        <v>228356</v>
      </c>
      <c r="AJ96" s="237">
        <v>235450</v>
      </c>
      <c r="AK96" s="237">
        <v>242543</v>
      </c>
      <c r="AL96" s="237">
        <v>249637</v>
      </c>
      <c r="AM96" s="237">
        <v>256895</v>
      </c>
      <c r="AN96" s="237">
        <v>264153</v>
      </c>
      <c r="AO96" s="237">
        <v>271411</v>
      </c>
      <c r="AP96" s="237">
        <v>278668</v>
      </c>
      <c r="AQ96" s="237">
        <v>285926</v>
      </c>
      <c r="AR96" s="237">
        <v>293184</v>
      </c>
      <c r="AS96" s="237">
        <v>300442</v>
      </c>
      <c r="AT96" s="237">
        <v>307700</v>
      </c>
      <c r="AU96" s="237">
        <v>314958</v>
      </c>
      <c r="AV96" s="237">
        <v>322215</v>
      </c>
      <c r="AW96" s="237">
        <v>329473</v>
      </c>
      <c r="AX96" s="237">
        <v>336731</v>
      </c>
      <c r="AY96" s="237">
        <v>344157</v>
      </c>
      <c r="AZ96" s="237">
        <v>351583</v>
      </c>
      <c r="BA96" s="237">
        <v>359009</v>
      </c>
      <c r="BB96" s="237">
        <v>366434</v>
      </c>
      <c r="BC96" s="237">
        <v>373860</v>
      </c>
      <c r="BD96" s="237">
        <v>381286</v>
      </c>
      <c r="BE96" s="237">
        <v>388712</v>
      </c>
      <c r="BF96" s="237">
        <v>396138</v>
      </c>
      <c r="BG96" s="237">
        <v>403564</v>
      </c>
      <c r="BH96" s="237">
        <v>410989</v>
      </c>
      <c r="BI96" s="237">
        <v>418415</v>
      </c>
      <c r="BJ96" s="237">
        <v>425841</v>
      </c>
      <c r="BK96" s="237">
        <v>433439</v>
      </c>
      <c r="BL96" s="237">
        <v>441036</v>
      </c>
      <c r="BM96" s="237">
        <v>448634</v>
      </c>
      <c r="BN96" s="237">
        <v>456232</v>
      </c>
      <c r="BO96" s="237">
        <v>463829</v>
      </c>
      <c r="BP96" s="237">
        <v>471427</v>
      </c>
      <c r="BQ96" s="237">
        <v>479025</v>
      </c>
      <c r="BR96" s="237">
        <v>486622</v>
      </c>
      <c r="BS96" s="237">
        <v>494220</v>
      </c>
      <c r="BT96" s="237">
        <v>501818</v>
      </c>
      <c r="BU96" s="237">
        <v>509415</v>
      </c>
      <c r="BV96" s="237">
        <v>517013</v>
      </c>
      <c r="BW96" s="237">
        <v>524787</v>
      </c>
      <c r="BX96" s="237">
        <v>532560</v>
      </c>
      <c r="BY96" s="237">
        <v>540334</v>
      </c>
      <c r="BZ96" s="237">
        <v>548107</v>
      </c>
      <c r="CA96" s="237">
        <v>555881</v>
      </c>
      <c r="CB96" s="237">
        <v>563654</v>
      </c>
      <c r="CC96" s="237">
        <v>571428</v>
      </c>
      <c r="CD96" s="237">
        <v>579201</v>
      </c>
      <c r="CE96" s="237">
        <v>586975</v>
      </c>
      <c r="CF96" s="237">
        <v>594748</v>
      </c>
      <c r="CG96" s="237">
        <v>602522</v>
      </c>
      <c r="CH96" s="237">
        <v>610295</v>
      </c>
      <c r="CI96" s="237">
        <v>618248</v>
      </c>
      <c r="CJ96" s="237">
        <v>626202</v>
      </c>
      <c r="CK96" s="237">
        <v>634155</v>
      </c>
      <c r="CL96" s="237">
        <v>642109</v>
      </c>
      <c r="CM96" s="237">
        <v>650062</v>
      </c>
      <c r="CN96" s="237">
        <v>658016</v>
      </c>
      <c r="CO96" s="237">
        <v>665969</v>
      </c>
      <c r="CP96" s="237">
        <v>673922</v>
      </c>
      <c r="CQ96" s="237">
        <v>681876</v>
      </c>
      <c r="CR96" s="237">
        <v>689829</v>
      </c>
      <c r="CS96" s="237">
        <v>697783</v>
      </c>
      <c r="CT96" s="238">
        <v>705736</v>
      </c>
    </row>
    <row r="97" spans="1:98" s="5" customFormat="1" ht="13" outlineLevel="1" x14ac:dyDescent="0.35">
      <c r="A97" s="235" t="s">
        <v>42</v>
      </c>
      <c r="B97" s="109" t="s">
        <v>17</v>
      </c>
      <c r="C97" s="237">
        <v>6799</v>
      </c>
      <c r="D97" s="237">
        <v>13599</v>
      </c>
      <c r="E97" s="237">
        <v>20398</v>
      </c>
      <c r="F97" s="237">
        <v>27197</v>
      </c>
      <c r="G97" s="237">
        <v>33997</v>
      </c>
      <c r="H97" s="237">
        <v>40796</v>
      </c>
      <c r="I97" s="237">
        <v>47595</v>
      </c>
      <c r="J97" s="237">
        <v>54395</v>
      </c>
      <c r="K97" s="237">
        <v>61194</v>
      </c>
      <c r="L97" s="237">
        <v>67993</v>
      </c>
      <c r="M97" s="237">
        <v>74793</v>
      </c>
      <c r="N97" s="237">
        <v>88391</v>
      </c>
      <c r="O97" s="237">
        <v>95916</v>
      </c>
      <c r="P97" s="237">
        <v>103440</v>
      </c>
      <c r="Q97" s="237">
        <v>110965</v>
      </c>
      <c r="R97" s="237">
        <v>118490</v>
      </c>
      <c r="S97" s="237">
        <v>126014</v>
      </c>
      <c r="T97" s="237">
        <v>133539</v>
      </c>
      <c r="U97" s="237">
        <v>141064</v>
      </c>
      <c r="V97" s="237">
        <v>148588</v>
      </c>
      <c r="W97" s="237">
        <v>156113</v>
      </c>
      <c r="X97" s="237">
        <v>163638</v>
      </c>
      <c r="Y97" s="237">
        <v>171162</v>
      </c>
      <c r="Z97" s="237">
        <v>178687</v>
      </c>
      <c r="AA97" s="237">
        <v>186374</v>
      </c>
      <c r="AB97" s="237">
        <v>194060</v>
      </c>
      <c r="AC97" s="237">
        <v>201747</v>
      </c>
      <c r="AD97" s="237">
        <v>209433</v>
      </c>
      <c r="AE97" s="237">
        <v>217120</v>
      </c>
      <c r="AF97" s="237">
        <v>224807</v>
      </c>
      <c r="AG97" s="237">
        <v>232493</v>
      </c>
      <c r="AH97" s="237">
        <v>240180</v>
      </c>
      <c r="AI97" s="237">
        <v>247866</v>
      </c>
      <c r="AJ97" s="237">
        <v>255553</v>
      </c>
      <c r="AK97" s="237">
        <v>263239</v>
      </c>
      <c r="AL97" s="237">
        <v>270926</v>
      </c>
      <c r="AM97" s="237">
        <v>278778</v>
      </c>
      <c r="AN97" s="237">
        <v>286630</v>
      </c>
      <c r="AO97" s="237">
        <v>294483</v>
      </c>
      <c r="AP97" s="237">
        <v>302335</v>
      </c>
      <c r="AQ97" s="237">
        <v>310187</v>
      </c>
      <c r="AR97" s="237">
        <v>318039</v>
      </c>
      <c r="AS97" s="237">
        <v>325891</v>
      </c>
      <c r="AT97" s="237">
        <v>333743</v>
      </c>
      <c r="AU97" s="237">
        <v>341596</v>
      </c>
      <c r="AV97" s="237">
        <v>349448</v>
      </c>
      <c r="AW97" s="237">
        <v>357300</v>
      </c>
      <c r="AX97" s="237">
        <v>365152</v>
      </c>
      <c r="AY97" s="237">
        <v>373173</v>
      </c>
      <c r="AZ97" s="237">
        <v>381195</v>
      </c>
      <c r="BA97" s="237">
        <v>389216</v>
      </c>
      <c r="BB97" s="237">
        <v>397237</v>
      </c>
      <c r="BC97" s="237">
        <v>405258</v>
      </c>
      <c r="BD97" s="237">
        <v>413280</v>
      </c>
      <c r="BE97" s="237">
        <v>421301</v>
      </c>
      <c r="BF97" s="237">
        <v>429322</v>
      </c>
      <c r="BG97" s="237">
        <v>437343</v>
      </c>
      <c r="BH97" s="237">
        <v>445365</v>
      </c>
      <c r="BI97" s="237">
        <v>453386</v>
      </c>
      <c r="BJ97" s="237">
        <v>461407</v>
      </c>
      <c r="BK97" s="237">
        <v>469601</v>
      </c>
      <c r="BL97" s="237">
        <v>477795</v>
      </c>
      <c r="BM97" s="237">
        <v>485989</v>
      </c>
      <c r="BN97" s="237">
        <v>494183</v>
      </c>
      <c r="BO97" s="237">
        <v>502377</v>
      </c>
      <c r="BP97" s="237">
        <v>510571</v>
      </c>
      <c r="BQ97" s="237">
        <v>518764</v>
      </c>
      <c r="BR97" s="237">
        <v>526958</v>
      </c>
      <c r="BS97" s="237">
        <v>535152</v>
      </c>
      <c r="BT97" s="237">
        <v>543346</v>
      </c>
      <c r="BU97" s="237">
        <v>551540</v>
      </c>
      <c r="BV97" s="237">
        <v>559734</v>
      </c>
      <c r="BW97" s="237">
        <v>568104</v>
      </c>
      <c r="BX97" s="237">
        <v>576475</v>
      </c>
      <c r="BY97" s="237">
        <v>584845</v>
      </c>
      <c r="BZ97" s="237">
        <v>593215</v>
      </c>
      <c r="CA97" s="237">
        <v>601586</v>
      </c>
      <c r="CB97" s="237">
        <v>609956</v>
      </c>
      <c r="CC97" s="237">
        <v>618326</v>
      </c>
      <c r="CD97" s="237">
        <v>626697</v>
      </c>
      <c r="CE97" s="237">
        <v>635067</v>
      </c>
      <c r="CF97" s="237">
        <v>643437</v>
      </c>
      <c r="CG97" s="237">
        <v>651808</v>
      </c>
      <c r="CH97" s="237">
        <v>660178</v>
      </c>
      <c r="CI97" s="237">
        <v>668729</v>
      </c>
      <c r="CJ97" s="237">
        <v>677279</v>
      </c>
      <c r="CK97" s="237">
        <v>685830</v>
      </c>
      <c r="CL97" s="237">
        <v>694380</v>
      </c>
      <c r="CM97" s="237">
        <v>702931</v>
      </c>
      <c r="CN97" s="237">
        <v>711482</v>
      </c>
      <c r="CO97" s="237">
        <v>720032</v>
      </c>
      <c r="CP97" s="237">
        <v>728583</v>
      </c>
      <c r="CQ97" s="237">
        <v>737133</v>
      </c>
      <c r="CR97" s="237">
        <v>745684</v>
      </c>
      <c r="CS97" s="237">
        <v>754234</v>
      </c>
      <c r="CT97" s="238">
        <v>762785</v>
      </c>
    </row>
    <row r="98" spans="1:98" s="5" customFormat="1" ht="13" outlineLevel="1" x14ac:dyDescent="0.35">
      <c r="A98" s="235" t="s">
        <v>39</v>
      </c>
      <c r="B98" s="109" t="s">
        <v>17</v>
      </c>
      <c r="C98" s="237">
        <v>4659</v>
      </c>
      <c r="D98" s="237">
        <v>9317</v>
      </c>
      <c r="E98" s="237">
        <v>13976</v>
      </c>
      <c r="F98" s="237">
        <v>18634</v>
      </c>
      <c r="G98" s="237">
        <v>23293</v>
      </c>
      <c r="H98" s="237">
        <v>27952</v>
      </c>
      <c r="I98" s="237">
        <v>32610</v>
      </c>
      <c r="J98" s="237">
        <v>37269</v>
      </c>
      <c r="K98" s="237">
        <v>41927</v>
      </c>
      <c r="L98" s="237">
        <v>46586</v>
      </c>
      <c r="M98" s="237">
        <v>51244</v>
      </c>
      <c r="N98" s="237">
        <v>60562</v>
      </c>
      <c r="O98" s="237">
        <v>65726</v>
      </c>
      <c r="P98" s="237">
        <v>70889</v>
      </c>
      <c r="Q98" s="237">
        <v>76053</v>
      </c>
      <c r="R98" s="237">
        <v>81216</v>
      </c>
      <c r="S98" s="237">
        <v>86380</v>
      </c>
      <c r="T98" s="237">
        <v>91544</v>
      </c>
      <c r="U98" s="237">
        <v>96707</v>
      </c>
      <c r="V98" s="237">
        <v>101871</v>
      </c>
      <c r="W98" s="237">
        <v>107034</v>
      </c>
      <c r="X98" s="237">
        <v>112198</v>
      </c>
      <c r="Y98" s="237">
        <v>117361</v>
      </c>
      <c r="Z98" s="237">
        <v>122525</v>
      </c>
      <c r="AA98" s="237">
        <v>127808</v>
      </c>
      <c r="AB98" s="237">
        <v>133092</v>
      </c>
      <c r="AC98" s="237">
        <v>138375</v>
      </c>
      <c r="AD98" s="237">
        <v>143658</v>
      </c>
      <c r="AE98" s="237">
        <v>148941</v>
      </c>
      <c r="AF98" s="237">
        <v>154225</v>
      </c>
      <c r="AG98" s="237">
        <v>159508</v>
      </c>
      <c r="AH98" s="237">
        <v>164791</v>
      </c>
      <c r="AI98" s="237">
        <v>170074</v>
      </c>
      <c r="AJ98" s="237">
        <v>175358</v>
      </c>
      <c r="AK98" s="237">
        <v>180641</v>
      </c>
      <c r="AL98" s="237">
        <v>185924</v>
      </c>
      <c r="AM98" s="237">
        <v>191330</v>
      </c>
      <c r="AN98" s="237">
        <v>196735</v>
      </c>
      <c r="AO98" s="237">
        <v>202141</v>
      </c>
      <c r="AP98" s="237">
        <v>207546</v>
      </c>
      <c r="AQ98" s="237">
        <v>212952</v>
      </c>
      <c r="AR98" s="237">
        <v>218357</v>
      </c>
      <c r="AS98" s="237">
        <v>223763</v>
      </c>
      <c r="AT98" s="237">
        <v>229168</v>
      </c>
      <c r="AU98" s="237">
        <v>234574</v>
      </c>
      <c r="AV98" s="237">
        <v>239979</v>
      </c>
      <c r="AW98" s="237">
        <v>245385</v>
      </c>
      <c r="AX98" s="237">
        <v>250790</v>
      </c>
      <c r="AY98" s="237">
        <v>256321</v>
      </c>
      <c r="AZ98" s="237">
        <v>261851</v>
      </c>
      <c r="BA98" s="237">
        <v>267382</v>
      </c>
      <c r="BB98" s="237">
        <v>272913</v>
      </c>
      <c r="BC98" s="237">
        <v>278443</v>
      </c>
      <c r="BD98" s="237">
        <v>283974</v>
      </c>
      <c r="BE98" s="237">
        <v>289505</v>
      </c>
      <c r="BF98" s="237">
        <v>295035</v>
      </c>
      <c r="BG98" s="237">
        <v>300566</v>
      </c>
      <c r="BH98" s="237">
        <v>306097</v>
      </c>
      <c r="BI98" s="237">
        <v>311627</v>
      </c>
      <c r="BJ98" s="237">
        <v>317158</v>
      </c>
      <c r="BK98" s="237">
        <v>322817</v>
      </c>
      <c r="BL98" s="237">
        <v>328475</v>
      </c>
      <c r="BM98" s="237">
        <v>334134</v>
      </c>
      <c r="BN98" s="237">
        <v>339792</v>
      </c>
      <c r="BO98" s="237">
        <v>345451</v>
      </c>
      <c r="BP98" s="237">
        <v>351110</v>
      </c>
      <c r="BQ98" s="237">
        <v>356768</v>
      </c>
      <c r="BR98" s="237">
        <v>362427</v>
      </c>
      <c r="BS98" s="237">
        <v>368085</v>
      </c>
      <c r="BT98" s="237">
        <v>373744</v>
      </c>
      <c r="BU98" s="237">
        <v>379402</v>
      </c>
      <c r="BV98" s="237">
        <v>385061</v>
      </c>
      <c r="BW98" s="237">
        <v>390851</v>
      </c>
      <c r="BX98" s="237">
        <v>396640</v>
      </c>
      <c r="BY98" s="237">
        <v>402430</v>
      </c>
      <c r="BZ98" s="237">
        <v>408219</v>
      </c>
      <c r="CA98" s="237">
        <v>414009</v>
      </c>
      <c r="CB98" s="237">
        <v>419798</v>
      </c>
      <c r="CC98" s="237">
        <v>425588</v>
      </c>
      <c r="CD98" s="237">
        <v>431377</v>
      </c>
      <c r="CE98" s="237">
        <v>437167</v>
      </c>
      <c r="CF98" s="237">
        <v>442956</v>
      </c>
      <c r="CG98" s="237">
        <v>448746</v>
      </c>
      <c r="CH98" s="237">
        <v>454535</v>
      </c>
      <c r="CI98" s="237">
        <v>460459</v>
      </c>
      <c r="CJ98" s="237">
        <v>466382</v>
      </c>
      <c r="CK98" s="237">
        <v>472306</v>
      </c>
      <c r="CL98" s="237">
        <v>478229</v>
      </c>
      <c r="CM98" s="237">
        <v>484153</v>
      </c>
      <c r="CN98" s="237">
        <v>490077</v>
      </c>
      <c r="CO98" s="237">
        <v>496000</v>
      </c>
      <c r="CP98" s="237">
        <v>501924</v>
      </c>
      <c r="CQ98" s="237">
        <v>507847</v>
      </c>
      <c r="CR98" s="237">
        <v>513771</v>
      </c>
      <c r="CS98" s="237">
        <v>519694</v>
      </c>
      <c r="CT98" s="238">
        <v>525618</v>
      </c>
    </row>
    <row r="99" spans="1:98" s="5" customFormat="1" ht="13" outlineLevel="1" x14ac:dyDescent="0.35">
      <c r="A99" s="235" t="s">
        <v>40</v>
      </c>
      <c r="B99" s="109" t="s">
        <v>17</v>
      </c>
      <c r="C99" s="237">
        <v>5600</v>
      </c>
      <c r="D99" s="237">
        <v>11200</v>
      </c>
      <c r="E99" s="237">
        <v>16799</v>
      </c>
      <c r="F99" s="237">
        <v>22399</v>
      </c>
      <c r="G99" s="237">
        <v>27999</v>
      </c>
      <c r="H99" s="237">
        <v>33599</v>
      </c>
      <c r="I99" s="237">
        <v>39198</v>
      </c>
      <c r="J99" s="237">
        <v>44798</v>
      </c>
      <c r="K99" s="237">
        <v>50398</v>
      </c>
      <c r="L99" s="237">
        <v>55998</v>
      </c>
      <c r="M99" s="237">
        <v>61597</v>
      </c>
      <c r="N99" s="237">
        <v>72797</v>
      </c>
      <c r="O99" s="237">
        <v>79004</v>
      </c>
      <c r="P99" s="237">
        <v>85211</v>
      </c>
      <c r="Q99" s="237">
        <v>91418</v>
      </c>
      <c r="R99" s="237">
        <v>97624</v>
      </c>
      <c r="S99" s="237">
        <v>103831</v>
      </c>
      <c r="T99" s="237">
        <v>110038</v>
      </c>
      <c r="U99" s="237">
        <v>116245</v>
      </c>
      <c r="V99" s="237">
        <v>122452</v>
      </c>
      <c r="W99" s="237">
        <v>128659</v>
      </c>
      <c r="X99" s="237">
        <v>134865</v>
      </c>
      <c r="Y99" s="237">
        <v>141072</v>
      </c>
      <c r="Z99" s="237">
        <v>147279</v>
      </c>
      <c r="AA99" s="237">
        <v>153630</v>
      </c>
      <c r="AB99" s="237">
        <v>159980</v>
      </c>
      <c r="AC99" s="237">
        <v>166331</v>
      </c>
      <c r="AD99" s="237">
        <v>172681</v>
      </c>
      <c r="AE99" s="237">
        <v>179032</v>
      </c>
      <c r="AF99" s="237">
        <v>185383</v>
      </c>
      <c r="AG99" s="237">
        <v>191733</v>
      </c>
      <c r="AH99" s="237">
        <v>198084</v>
      </c>
      <c r="AI99" s="237">
        <v>204434</v>
      </c>
      <c r="AJ99" s="237">
        <v>210785</v>
      </c>
      <c r="AK99" s="237">
        <v>217135</v>
      </c>
      <c r="AL99" s="237">
        <v>223486</v>
      </c>
      <c r="AM99" s="237">
        <v>229984</v>
      </c>
      <c r="AN99" s="237">
        <v>236481</v>
      </c>
      <c r="AO99" s="237">
        <v>242979</v>
      </c>
      <c r="AP99" s="237">
        <v>249476</v>
      </c>
      <c r="AQ99" s="237">
        <v>255974</v>
      </c>
      <c r="AR99" s="237">
        <v>262472</v>
      </c>
      <c r="AS99" s="237">
        <v>268969</v>
      </c>
      <c r="AT99" s="237">
        <v>275467</v>
      </c>
      <c r="AU99" s="237">
        <v>281964</v>
      </c>
      <c r="AV99" s="237">
        <v>288462</v>
      </c>
      <c r="AW99" s="237">
        <v>294959</v>
      </c>
      <c r="AX99" s="237">
        <v>301457</v>
      </c>
      <c r="AY99" s="237">
        <v>308105</v>
      </c>
      <c r="AZ99" s="237">
        <v>314753</v>
      </c>
      <c r="BA99" s="237">
        <v>321401</v>
      </c>
      <c r="BB99" s="237">
        <v>328049</v>
      </c>
      <c r="BC99" s="237">
        <v>334697</v>
      </c>
      <c r="BD99" s="237">
        <v>341345</v>
      </c>
      <c r="BE99" s="237">
        <v>347993</v>
      </c>
      <c r="BF99" s="237">
        <v>354641</v>
      </c>
      <c r="BG99" s="237">
        <v>361289</v>
      </c>
      <c r="BH99" s="237">
        <v>367937</v>
      </c>
      <c r="BI99" s="237">
        <v>374585</v>
      </c>
      <c r="BJ99" s="237">
        <v>381233</v>
      </c>
      <c r="BK99" s="237">
        <v>388035</v>
      </c>
      <c r="BL99" s="237">
        <v>394837</v>
      </c>
      <c r="BM99" s="237">
        <v>401638</v>
      </c>
      <c r="BN99" s="237">
        <v>408440</v>
      </c>
      <c r="BO99" s="237">
        <v>415242</v>
      </c>
      <c r="BP99" s="237">
        <v>422044</v>
      </c>
      <c r="BQ99" s="237">
        <v>428845</v>
      </c>
      <c r="BR99" s="237">
        <v>435647</v>
      </c>
      <c r="BS99" s="237">
        <v>442449</v>
      </c>
      <c r="BT99" s="237">
        <v>449251</v>
      </c>
      <c r="BU99" s="237">
        <v>456052</v>
      </c>
      <c r="BV99" s="237">
        <v>462854</v>
      </c>
      <c r="BW99" s="237">
        <v>469813</v>
      </c>
      <c r="BX99" s="237">
        <v>476773</v>
      </c>
      <c r="BY99" s="237">
        <v>483732</v>
      </c>
      <c r="BZ99" s="237">
        <v>490691</v>
      </c>
      <c r="CA99" s="237">
        <v>497650</v>
      </c>
      <c r="CB99" s="237">
        <v>504610</v>
      </c>
      <c r="CC99" s="237">
        <v>511569</v>
      </c>
      <c r="CD99" s="237">
        <v>518528</v>
      </c>
      <c r="CE99" s="237">
        <v>525487</v>
      </c>
      <c r="CF99" s="237">
        <v>532447</v>
      </c>
      <c r="CG99" s="237">
        <v>539406</v>
      </c>
      <c r="CH99" s="237">
        <v>546365</v>
      </c>
      <c r="CI99" s="237">
        <v>553485</v>
      </c>
      <c r="CJ99" s="237">
        <v>560605</v>
      </c>
      <c r="CK99" s="237">
        <v>567726</v>
      </c>
      <c r="CL99" s="237">
        <v>574846</v>
      </c>
      <c r="CM99" s="237">
        <v>581966</v>
      </c>
      <c r="CN99" s="237">
        <v>589086</v>
      </c>
      <c r="CO99" s="237">
        <v>596206</v>
      </c>
      <c r="CP99" s="237">
        <v>603326</v>
      </c>
      <c r="CQ99" s="237">
        <v>610447</v>
      </c>
      <c r="CR99" s="237">
        <v>617567</v>
      </c>
      <c r="CS99" s="237">
        <v>624687</v>
      </c>
      <c r="CT99" s="238">
        <v>631807</v>
      </c>
    </row>
    <row r="100" spans="1:98" s="5" customFormat="1" ht="13" outlineLevel="1" x14ac:dyDescent="0.35">
      <c r="A100" s="235" t="s">
        <v>41</v>
      </c>
      <c r="B100" s="109" t="s">
        <v>17</v>
      </c>
      <c r="C100" s="237">
        <v>6700</v>
      </c>
      <c r="D100" s="237">
        <v>13399</v>
      </c>
      <c r="E100" s="237">
        <v>20099</v>
      </c>
      <c r="F100" s="237">
        <v>26798</v>
      </c>
      <c r="G100" s="237">
        <v>33498</v>
      </c>
      <c r="H100" s="237">
        <v>40197</v>
      </c>
      <c r="I100" s="237">
        <v>46897</v>
      </c>
      <c r="J100" s="237">
        <v>53596</v>
      </c>
      <c r="K100" s="237">
        <v>60296</v>
      </c>
      <c r="L100" s="237">
        <v>66995</v>
      </c>
      <c r="M100" s="237">
        <v>73695</v>
      </c>
      <c r="N100" s="237">
        <v>87093</v>
      </c>
      <c r="O100" s="237">
        <v>94519</v>
      </c>
      <c r="P100" s="237">
        <v>101945</v>
      </c>
      <c r="Q100" s="237">
        <v>109371</v>
      </c>
      <c r="R100" s="237">
        <v>116796</v>
      </c>
      <c r="S100" s="237">
        <v>124222</v>
      </c>
      <c r="T100" s="237">
        <v>131648</v>
      </c>
      <c r="U100" s="237">
        <v>139074</v>
      </c>
      <c r="V100" s="237">
        <v>146500</v>
      </c>
      <c r="W100" s="237">
        <v>153926</v>
      </c>
      <c r="X100" s="237">
        <v>161351</v>
      </c>
      <c r="Y100" s="237">
        <v>168777</v>
      </c>
      <c r="Z100" s="237">
        <v>176203</v>
      </c>
      <c r="AA100" s="237">
        <v>183801</v>
      </c>
      <c r="AB100" s="237">
        <v>191399</v>
      </c>
      <c r="AC100" s="237">
        <v>198996</v>
      </c>
      <c r="AD100" s="237">
        <v>206594</v>
      </c>
      <c r="AE100" s="237">
        <v>214192</v>
      </c>
      <c r="AF100" s="237">
        <v>221790</v>
      </c>
      <c r="AG100" s="237">
        <v>229387</v>
      </c>
      <c r="AH100" s="237">
        <v>236985</v>
      </c>
      <c r="AI100" s="237">
        <v>244583</v>
      </c>
      <c r="AJ100" s="237">
        <v>252181</v>
      </c>
      <c r="AK100" s="237">
        <v>259778</v>
      </c>
      <c r="AL100" s="237">
        <v>267376</v>
      </c>
      <c r="AM100" s="237">
        <v>275150</v>
      </c>
      <c r="AN100" s="237">
        <v>282923</v>
      </c>
      <c r="AO100" s="237">
        <v>290697</v>
      </c>
      <c r="AP100" s="237">
        <v>298471</v>
      </c>
      <c r="AQ100" s="237">
        <v>306244</v>
      </c>
      <c r="AR100" s="237">
        <v>314018</v>
      </c>
      <c r="AS100" s="237">
        <v>321792</v>
      </c>
      <c r="AT100" s="237">
        <v>329565</v>
      </c>
      <c r="AU100" s="237">
        <v>337339</v>
      </c>
      <c r="AV100" s="237">
        <v>345113</v>
      </c>
      <c r="AW100" s="237">
        <v>352886</v>
      </c>
      <c r="AX100" s="237">
        <v>360660</v>
      </c>
      <c r="AY100" s="237">
        <v>368614</v>
      </c>
      <c r="AZ100" s="237">
        <v>376567</v>
      </c>
      <c r="BA100" s="237">
        <v>384521</v>
      </c>
      <c r="BB100" s="237">
        <v>392474</v>
      </c>
      <c r="BC100" s="237">
        <v>400428</v>
      </c>
      <c r="BD100" s="237">
        <v>408381</v>
      </c>
      <c r="BE100" s="237">
        <v>416335</v>
      </c>
      <c r="BF100" s="237">
        <v>424288</v>
      </c>
      <c r="BG100" s="237">
        <v>432242</v>
      </c>
      <c r="BH100" s="237">
        <v>440195</v>
      </c>
      <c r="BI100" s="237">
        <v>448149</v>
      </c>
      <c r="BJ100" s="237">
        <v>456102</v>
      </c>
      <c r="BK100" s="237">
        <v>464240</v>
      </c>
      <c r="BL100" s="237">
        <v>472377</v>
      </c>
      <c r="BM100" s="237">
        <v>480515</v>
      </c>
      <c r="BN100" s="237">
        <v>488653</v>
      </c>
      <c r="BO100" s="237">
        <v>496790</v>
      </c>
      <c r="BP100" s="237">
        <v>504928</v>
      </c>
      <c r="BQ100" s="237">
        <v>513066</v>
      </c>
      <c r="BR100" s="237">
        <v>521203</v>
      </c>
      <c r="BS100" s="237">
        <v>529341</v>
      </c>
      <c r="BT100" s="237">
        <v>537479</v>
      </c>
      <c r="BU100" s="237">
        <v>545616</v>
      </c>
      <c r="BV100" s="237">
        <v>553754</v>
      </c>
      <c r="BW100" s="237">
        <v>562080</v>
      </c>
      <c r="BX100" s="237">
        <v>570406</v>
      </c>
      <c r="BY100" s="237">
        <v>578732</v>
      </c>
      <c r="BZ100" s="237">
        <v>587057</v>
      </c>
      <c r="CA100" s="237">
        <v>595383</v>
      </c>
      <c r="CB100" s="237">
        <v>603709</v>
      </c>
      <c r="CC100" s="237">
        <v>612035</v>
      </c>
      <c r="CD100" s="237">
        <v>620361</v>
      </c>
      <c r="CE100" s="237">
        <v>628687</v>
      </c>
      <c r="CF100" s="237">
        <v>637012</v>
      </c>
      <c r="CG100" s="237">
        <v>645338</v>
      </c>
      <c r="CH100" s="237">
        <v>653664</v>
      </c>
      <c r="CI100" s="237">
        <v>662183</v>
      </c>
      <c r="CJ100" s="237">
        <v>670701</v>
      </c>
      <c r="CK100" s="237">
        <v>679220</v>
      </c>
      <c r="CL100" s="237">
        <v>687738</v>
      </c>
      <c r="CM100" s="237">
        <v>696257</v>
      </c>
      <c r="CN100" s="237">
        <v>704776</v>
      </c>
      <c r="CO100" s="237">
        <v>713294</v>
      </c>
      <c r="CP100" s="237">
        <v>721813</v>
      </c>
      <c r="CQ100" s="237">
        <v>730331</v>
      </c>
      <c r="CR100" s="237">
        <v>738850</v>
      </c>
      <c r="CS100" s="237">
        <v>747368</v>
      </c>
      <c r="CT100" s="238">
        <v>755887</v>
      </c>
    </row>
    <row r="101" spans="1:98" s="5" customFormat="1" ht="13" outlineLevel="1" x14ac:dyDescent="0.35">
      <c r="A101" s="235" t="s">
        <v>43</v>
      </c>
      <c r="B101" s="109" t="s">
        <v>17</v>
      </c>
      <c r="C101" s="237">
        <v>4713</v>
      </c>
      <c r="D101" s="237">
        <v>9425</v>
      </c>
      <c r="E101" s="237">
        <v>14138</v>
      </c>
      <c r="F101" s="237">
        <v>18850</v>
      </c>
      <c r="G101" s="237">
        <v>23563</v>
      </c>
      <c r="H101" s="237">
        <v>28276</v>
      </c>
      <c r="I101" s="237">
        <v>32988</v>
      </c>
      <c r="J101" s="237">
        <v>37701</v>
      </c>
      <c r="K101" s="237">
        <v>42413</v>
      </c>
      <c r="L101" s="237">
        <v>47126</v>
      </c>
      <c r="M101" s="237">
        <v>51838</v>
      </c>
      <c r="N101" s="237">
        <v>61264</v>
      </c>
      <c r="O101" s="237">
        <v>66479</v>
      </c>
      <c r="P101" s="237">
        <v>71695</v>
      </c>
      <c r="Q101" s="237">
        <v>76910</v>
      </c>
      <c r="R101" s="237">
        <v>82125</v>
      </c>
      <c r="S101" s="237">
        <v>87340</v>
      </c>
      <c r="T101" s="237">
        <v>92556</v>
      </c>
      <c r="U101" s="237">
        <v>97771</v>
      </c>
      <c r="V101" s="237">
        <v>102986</v>
      </c>
      <c r="W101" s="237">
        <v>108201</v>
      </c>
      <c r="X101" s="237">
        <v>113417</v>
      </c>
      <c r="Y101" s="237">
        <v>118632</v>
      </c>
      <c r="Z101" s="237">
        <v>123847</v>
      </c>
      <c r="AA101" s="237">
        <v>129175</v>
      </c>
      <c r="AB101" s="237">
        <v>134502</v>
      </c>
      <c r="AC101" s="237">
        <v>139830</v>
      </c>
      <c r="AD101" s="237">
        <v>145157</v>
      </c>
      <c r="AE101" s="237">
        <v>150485</v>
      </c>
      <c r="AF101" s="237">
        <v>155813</v>
      </c>
      <c r="AG101" s="237">
        <v>161140</v>
      </c>
      <c r="AH101" s="237">
        <v>166468</v>
      </c>
      <c r="AI101" s="237">
        <v>171795</v>
      </c>
      <c r="AJ101" s="237">
        <v>177123</v>
      </c>
      <c r="AK101" s="237">
        <v>182450</v>
      </c>
      <c r="AL101" s="237">
        <v>187778</v>
      </c>
      <c r="AM101" s="237">
        <v>193220</v>
      </c>
      <c r="AN101" s="237">
        <v>198663</v>
      </c>
      <c r="AO101" s="237">
        <v>204105</v>
      </c>
      <c r="AP101" s="237">
        <v>209547</v>
      </c>
      <c r="AQ101" s="237">
        <v>214989</v>
      </c>
      <c r="AR101" s="237">
        <v>220432</v>
      </c>
      <c r="AS101" s="237">
        <v>225874</v>
      </c>
      <c r="AT101" s="237">
        <v>231316</v>
      </c>
      <c r="AU101" s="237">
        <v>236758</v>
      </c>
      <c r="AV101" s="237">
        <v>242201</v>
      </c>
      <c r="AW101" s="237">
        <v>247643</v>
      </c>
      <c r="AX101" s="237">
        <v>253085</v>
      </c>
      <c r="AY101" s="237">
        <v>258645</v>
      </c>
      <c r="AZ101" s="237">
        <v>264204</v>
      </c>
      <c r="BA101" s="237">
        <v>269764</v>
      </c>
      <c r="BB101" s="237">
        <v>275323</v>
      </c>
      <c r="BC101" s="237">
        <v>280883</v>
      </c>
      <c r="BD101" s="237">
        <v>286442</v>
      </c>
      <c r="BE101" s="237">
        <v>292002</v>
      </c>
      <c r="BF101" s="237">
        <v>297561</v>
      </c>
      <c r="BG101" s="237">
        <v>303121</v>
      </c>
      <c r="BH101" s="237">
        <v>308680</v>
      </c>
      <c r="BI101" s="237">
        <v>314240</v>
      </c>
      <c r="BJ101" s="237">
        <v>319799</v>
      </c>
      <c r="BK101" s="237">
        <v>325478</v>
      </c>
      <c r="BL101" s="237">
        <v>331158</v>
      </c>
      <c r="BM101" s="237">
        <v>336837</v>
      </c>
      <c r="BN101" s="237">
        <v>342516</v>
      </c>
      <c r="BO101" s="237">
        <v>348195</v>
      </c>
      <c r="BP101" s="237">
        <v>353875</v>
      </c>
      <c r="BQ101" s="237">
        <v>359554</v>
      </c>
      <c r="BR101" s="237">
        <v>365233</v>
      </c>
      <c r="BS101" s="237">
        <v>370912</v>
      </c>
      <c r="BT101" s="237">
        <v>376592</v>
      </c>
      <c r="BU101" s="237">
        <v>382271</v>
      </c>
      <c r="BV101" s="237">
        <v>387950</v>
      </c>
      <c r="BW101" s="237">
        <v>393751</v>
      </c>
      <c r="BX101" s="237">
        <v>399553</v>
      </c>
      <c r="BY101" s="237">
        <v>405354</v>
      </c>
      <c r="BZ101" s="237">
        <v>411156</v>
      </c>
      <c r="CA101" s="237">
        <v>416957</v>
      </c>
      <c r="CB101" s="237">
        <v>422759</v>
      </c>
      <c r="CC101" s="237">
        <v>428560</v>
      </c>
      <c r="CD101" s="237">
        <v>434361</v>
      </c>
      <c r="CE101" s="237">
        <v>440163</v>
      </c>
      <c r="CF101" s="237">
        <v>445964</v>
      </c>
      <c r="CG101" s="237">
        <v>451766</v>
      </c>
      <c r="CH101" s="237">
        <v>457567</v>
      </c>
      <c r="CI101" s="237">
        <v>463493</v>
      </c>
      <c r="CJ101" s="237">
        <v>469420</v>
      </c>
      <c r="CK101" s="237">
        <v>475346</v>
      </c>
      <c r="CL101" s="237">
        <v>481272</v>
      </c>
      <c r="CM101" s="237">
        <v>487198</v>
      </c>
      <c r="CN101" s="237">
        <v>493125</v>
      </c>
      <c r="CO101" s="237">
        <v>499051</v>
      </c>
      <c r="CP101" s="237">
        <v>504977</v>
      </c>
      <c r="CQ101" s="237">
        <v>510903</v>
      </c>
      <c r="CR101" s="237">
        <v>516830</v>
      </c>
      <c r="CS101" s="237">
        <v>522756</v>
      </c>
      <c r="CT101" s="238">
        <v>528682</v>
      </c>
    </row>
    <row r="102" spans="1:98" s="5" customFormat="1" ht="13" outlineLevel="1" x14ac:dyDescent="0.35">
      <c r="A102" s="235" t="s">
        <v>44</v>
      </c>
      <c r="B102" s="109" t="s">
        <v>17</v>
      </c>
      <c r="C102" s="237">
        <v>5674</v>
      </c>
      <c r="D102" s="237">
        <v>11349</v>
      </c>
      <c r="E102" s="237">
        <v>17023</v>
      </c>
      <c r="F102" s="237">
        <v>22697</v>
      </c>
      <c r="G102" s="237">
        <v>28371</v>
      </c>
      <c r="H102" s="237">
        <v>34046</v>
      </c>
      <c r="I102" s="237">
        <v>39720</v>
      </c>
      <c r="J102" s="237">
        <v>45394</v>
      </c>
      <c r="K102" s="237">
        <v>51068</v>
      </c>
      <c r="L102" s="237">
        <v>56743</v>
      </c>
      <c r="M102" s="237">
        <v>62417</v>
      </c>
      <c r="N102" s="237">
        <v>73765</v>
      </c>
      <c r="O102" s="237">
        <v>80045</v>
      </c>
      <c r="P102" s="237">
        <v>86324</v>
      </c>
      <c r="Q102" s="237">
        <v>92604</v>
      </c>
      <c r="R102" s="237">
        <v>98883</v>
      </c>
      <c r="S102" s="237">
        <v>105163</v>
      </c>
      <c r="T102" s="237">
        <v>111442</v>
      </c>
      <c r="U102" s="237">
        <v>117722</v>
      </c>
      <c r="V102" s="237">
        <v>124001</v>
      </c>
      <c r="W102" s="237">
        <v>130281</v>
      </c>
      <c r="X102" s="237">
        <v>136560</v>
      </c>
      <c r="Y102" s="237">
        <v>142840</v>
      </c>
      <c r="Z102" s="237">
        <v>149119</v>
      </c>
      <c r="AA102" s="237">
        <v>155534</v>
      </c>
      <c r="AB102" s="237">
        <v>161949</v>
      </c>
      <c r="AC102" s="237">
        <v>168363</v>
      </c>
      <c r="AD102" s="237">
        <v>174778</v>
      </c>
      <c r="AE102" s="237">
        <v>181193</v>
      </c>
      <c r="AF102" s="237">
        <v>187608</v>
      </c>
      <c r="AG102" s="237">
        <v>194022</v>
      </c>
      <c r="AH102" s="237">
        <v>200437</v>
      </c>
      <c r="AI102" s="237">
        <v>206852</v>
      </c>
      <c r="AJ102" s="237">
        <v>213267</v>
      </c>
      <c r="AK102" s="237">
        <v>219681</v>
      </c>
      <c r="AL102" s="237">
        <v>226096</v>
      </c>
      <c r="AM102" s="237">
        <v>232649</v>
      </c>
      <c r="AN102" s="237">
        <v>239202</v>
      </c>
      <c r="AO102" s="237">
        <v>245755</v>
      </c>
      <c r="AP102" s="237">
        <v>252308</v>
      </c>
      <c r="AQ102" s="237">
        <v>258861</v>
      </c>
      <c r="AR102" s="237">
        <v>265414</v>
      </c>
      <c r="AS102" s="237">
        <v>271966</v>
      </c>
      <c r="AT102" s="237">
        <v>278519</v>
      </c>
      <c r="AU102" s="237">
        <v>285072</v>
      </c>
      <c r="AV102" s="237">
        <v>291625</v>
      </c>
      <c r="AW102" s="237">
        <v>298178</v>
      </c>
      <c r="AX102" s="237">
        <v>304731</v>
      </c>
      <c r="AY102" s="237">
        <v>311425</v>
      </c>
      <c r="AZ102" s="237">
        <v>318119</v>
      </c>
      <c r="BA102" s="237">
        <v>324813</v>
      </c>
      <c r="BB102" s="237">
        <v>331507</v>
      </c>
      <c r="BC102" s="237">
        <v>338201</v>
      </c>
      <c r="BD102" s="237">
        <v>344895</v>
      </c>
      <c r="BE102" s="237">
        <v>351589</v>
      </c>
      <c r="BF102" s="237">
        <v>358283</v>
      </c>
      <c r="BG102" s="237">
        <v>364977</v>
      </c>
      <c r="BH102" s="237">
        <v>371671</v>
      </c>
      <c r="BI102" s="237">
        <v>378365</v>
      </c>
      <c r="BJ102" s="237">
        <v>385059</v>
      </c>
      <c r="BK102" s="237">
        <v>391897</v>
      </c>
      <c r="BL102" s="237">
        <v>398735</v>
      </c>
      <c r="BM102" s="237">
        <v>405573</v>
      </c>
      <c r="BN102" s="237">
        <v>412411</v>
      </c>
      <c r="BO102" s="237">
        <v>419249</v>
      </c>
      <c r="BP102" s="237">
        <v>426088</v>
      </c>
      <c r="BQ102" s="237">
        <v>432926</v>
      </c>
      <c r="BR102" s="237">
        <v>439764</v>
      </c>
      <c r="BS102" s="237">
        <v>446602</v>
      </c>
      <c r="BT102" s="237">
        <v>453440</v>
      </c>
      <c r="BU102" s="237">
        <v>460278</v>
      </c>
      <c r="BV102" s="237">
        <v>467116</v>
      </c>
      <c r="BW102" s="237">
        <v>474101</v>
      </c>
      <c r="BX102" s="237">
        <v>481087</v>
      </c>
      <c r="BY102" s="237">
        <v>488072</v>
      </c>
      <c r="BZ102" s="237">
        <v>495057</v>
      </c>
      <c r="CA102" s="237">
        <v>502043</v>
      </c>
      <c r="CB102" s="237">
        <v>509028</v>
      </c>
      <c r="CC102" s="237">
        <v>516013</v>
      </c>
      <c r="CD102" s="237">
        <v>522999</v>
      </c>
      <c r="CE102" s="237">
        <v>529984</v>
      </c>
      <c r="CF102" s="237">
        <v>536969</v>
      </c>
      <c r="CG102" s="237">
        <v>543955</v>
      </c>
      <c r="CH102" s="237">
        <v>550940</v>
      </c>
      <c r="CI102" s="237">
        <v>558076</v>
      </c>
      <c r="CJ102" s="237">
        <v>565211</v>
      </c>
      <c r="CK102" s="237">
        <v>572347</v>
      </c>
      <c r="CL102" s="237">
        <v>579482</v>
      </c>
      <c r="CM102" s="237">
        <v>586618</v>
      </c>
      <c r="CN102" s="237">
        <v>593754</v>
      </c>
      <c r="CO102" s="237">
        <v>600889</v>
      </c>
      <c r="CP102" s="237">
        <v>608025</v>
      </c>
      <c r="CQ102" s="237">
        <v>615160</v>
      </c>
      <c r="CR102" s="237">
        <v>622296</v>
      </c>
      <c r="CS102" s="237">
        <v>629431</v>
      </c>
      <c r="CT102" s="237">
        <v>636567</v>
      </c>
    </row>
    <row r="103" spans="1:98" s="5" customFormat="1" ht="13" outlineLevel="1" x14ac:dyDescent="0.35">
      <c r="A103" s="235" t="s">
        <v>45</v>
      </c>
      <c r="B103" s="239" t="s">
        <v>17</v>
      </c>
      <c r="C103" s="237">
        <v>6799</v>
      </c>
      <c r="D103" s="237">
        <v>13599</v>
      </c>
      <c r="E103" s="237">
        <v>20398</v>
      </c>
      <c r="F103" s="237">
        <v>27197</v>
      </c>
      <c r="G103" s="237">
        <v>33997</v>
      </c>
      <c r="H103" s="237">
        <v>40796</v>
      </c>
      <c r="I103" s="237">
        <v>47595</v>
      </c>
      <c r="J103" s="237">
        <v>54395</v>
      </c>
      <c r="K103" s="237">
        <v>61194</v>
      </c>
      <c r="L103" s="237">
        <v>67993</v>
      </c>
      <c r="M103" s="237">
        <v>74793</v>
      </c>
      <c r="N103" s="237">
        <v>88391</v>
      </c>
      <c r="O103" s="237">
        <v>95916</v>
      </c>
      <c r="P103" s="237">
        <v>103440</v>
      </c>
      <c r="Q103" s="237">
        <v>110965</v>
      </c>
      <c r="R103" s="237">
        <v>118490</v>
      </c>
      <c r="S103" s="237">
        <v>126014</v>
      </c>
      <c r="T103" s="237">
        <v>133539</v>
      </c>
      <c r="U103" s="237">
        <v>141064</v>
      </c>
      <c r="V103" s="237">
        <v>148588</v>
      </c>
      <c r="W103" s="237">
        <v>156113</v>
      </c>
      <c r="X103" s="237">
        <v>163638</v>
      </c>
      <c r="Y103" s="237">
        <v>171162</v>
      </c>
      <c r="Z103" s="237">
        <v>178687</v>
      </c>
      <c r="AA103" s="237">
        <v>186374</v>
      </c>
      <c r="AB103" s="237">
        <v>194060</v>
      </c>
      <c r="AC103" s="237">
        <v>201747</v>
      </c>
      <c r="AD103" s="237">
        <v>209433</v>
      </c>
      <c r="AE103" s="237">
        <v>217120</v>
      </c>
      <c r="AF103" s="237">
        <v>224807</v>
      </c>
      <c r="AG103" s="237">
        <v>232493</v>
      </c>
      <c r="AH103" s="237">
        <v>240180</v>
      </c>
      <c r="AI103" s="237">
        <v>247866</v>
      </c>
      <c r="AJ103" s="237">
        <v>255553</v>
      </c>
      <c r="AK103" s="237">
        <v>263239</v>
      </c>
      <c r="AL103" s="237">
        <v>270926</v>
      </c>
      <c r="AM103" s="237">
        <v>278778</v>
      </c>
      <c r="AN103" s="237">
        <v>286630</v>
      </c>
      <c r="AO103" s="237">
        <v>294483</v>
      </c>
      <c r="AP103" s="237">
        <v>302335</v>
      </c>
      <c r="AQ103" s="237">
        <v>310187</v>
      </c>
      <c r="AR103" s="237">
        <v>318039</v>
      </c>
      <c r="AS103" s="237">
        <v>325891</v>
      </c>
      <c r="AT103" s="237">
        <v>333743</v>
      </c>
      <c r="AU103" s="237">
        <v>341596</v>
      </c>
      <c r="AV103" s="237">
        <v>349448</v>
      </c>
      <c r="AW103" s="237">
        <v>357300</v>
      </c>
      <c r="AX103" s="237">
        <v>365152</v>
      </c>
      <c r="AY103" s="237">
        <v>373173</v>
      </c>
      <c r="AZ103" s="237">
        <v>381195</v>
      </c>
      <c r="BA103" s="237">
        <v>389216</v>
      </c>
      <c r="BB103" s="237">
        <v>397237</v>
      </c>
      <c r="BC103" s="237">
        <v>405258</v>
      </c>
      <c r="BD103" s="237">
        <v>413280</v>
      </c>
      <c r="BE103" s="237">
        <v>421301</v>
      </c>
      <c r="BF103" s="237">
        <v>429322</v>
      </c>
      <c r="BG103" s="237">
        <v>437343</v>
      </c>
      <c r="BH103" s="237">
        <v>445365</v>
      </c>
      <c r="BI103" s="237">
        <v>453386</v>
      </c>
      <c r="BJ103" s="237">
        <v>461407</v>
      </c>
      <c r="BK103" s="237">
        <v>469601</v>
      </c>
      <c r="BL103" s="237">
        <v>477795</v>
      </c>
      <c r="BM103" s="237">
        <v>485989</v>
      </c>
      <c r="BN103" s="237">
        <v>494183</v>
      </c>
      <c r="BO103" s="237">
        <v>502377</v>
      </c>
      <c r="BP103" s="237">
        <v>510571</v>
      </c>
      <c r="BQ103" s="237">
        <v>518764</v>
      </c>
      <c r="BR103" s="237">
        <v>526958</v>
      </c>
      <c r="BS103" s="237">
        <v>535152</v>
      </c>
      <c r="BT103" s="237">
        <v>543346</v>
      </c>
      <c r="BU103" s="237">
        <v>551540</v>
      </c>
      <c r="BV103" s="237">
        <v>559734</v>
      </c>
      <c r="BW103" s="237">
        <v>568104</v>
      </c>
      <c r="BX103" s="237">
        <v>576475</v>
      </c>
      <c r="BY103" s="237">
        <v>584845</v>
      </c>
      <c r="BZ103" s="237">
        <v>593215</v>
      </c>
      <c r="CA103" s="237">
        <v>601586</v>
      </c>
      <c r="CB103" s="237">
        <v>609956</v>
      </c>
      <c r="CC103" s="237">
        <v>618326</v>
      </c>
      <c r="CD103" s="237">
        <v>626697</v>
      </c>
      <c r="CE103" s="237">
        <v>635067</v>
      </c>
      <c r="CF103" s="237">
        <v>643437</v>
      </c>
      <c r="CG103" s="237">
        <v>651808</v>
      </c>
      <c r="CH103" s="237">
        <v>660178</v>
      </c>
      <c r="CI103" s="237">
        <v>668729</v>
      </c>
      <c r="CJ103" s="237">
        <v>677279</v>
      </c>
      <c r="CK103" s="237">
        <v>685830</v>
      </c>
      <c r="CL103" s="237">
        <v>694380</v>
      </c>
      <c r="CM103" s="237">
        <v>702931</v>
      </c>
      <c r="CN103" s="237">
        <v>711482</v>
      </c>
      <c r="CO103" s="237">
        <v>720032</v>
      </c>
      <c r="CP103" s="237">
        <v>728583</v>
      </c>
      <c r="CQ103" s="237">
        <v>737133</v>
      </c>
      <c r="CR103" s="237">
        <v>745684</v>
      </c>
      <c r="CS103" s="237">
        <v>754234</v>
      </c>
      <c r="CT103" s="238">
        <v>762785</v>
      </c>
    </row>
    <row r="104" spans="1:98" s="5" customFormat="1" ht="13" outlineLevel="1" x14ac:dyDescent="0.35">
      <c r="A104" s="235" t="s">
        <v>60</v>
      </c>
      <c r="B104" s="239" t="s">
        <v>17</v>
      </c>
      <c r="C104" s="237">
        <v>6255</v>
      </c>
      <c r="D104" s="239">
        <v>12510</v>
      </c>
      <c r="E104" s="239">
        <v>18765</v>
      </c>
      <c r="F104" s="239">
        <v>25020</v>
      </c>
      <c r="G104" s="239">
        <v>31275</v>
      </c>
      <c r="H104" s="239">
        <v>37530</v>
      </c>
      <c r="I104" s="239">
        <v>43785</v>
      </c>
      <c r="J104" s="239">
        <v>50040</v>
      </c>
      <c r="K104" s="239">
        <v>56295</v>
      </c>
      <c r="L104" s="239">
        <v>62550</v>
      </c>
      <c r="M104" s="239">
        <v>68805</v>
      </c>
      <c r="N104" s="239">
        <v>81315</v>
      </c>
      <c r="O104" s="239">
        <v>88248</v>
      </c>
      <c r="P104" s="239">
        <v>95181</v>
      </c>
      <c r="Q104" s="239">
        <v>102115</v>
      </c>
      <c r="R104" s="239">
        <v>109048</v>
      </c>
      <c r="S104" s="239">
        <v>115981</v>
      </c>
      <c r="T104" s="239">
        <v>122914</v>
      </c>
      <c r="U104" s="239">
        <v>129847</v>
      </c>
      <c r="V104" s="239">
        <v>136780</v>
      </c>
      <c r="W104" s="239">
        <v>143714</v>
      </c>
      <c r="X104" s="239">
        <v>150647</v>
      </c>
      <c r="Y104" s="239">
        <v>157580</v>
      </c>
      <c r="Z104" s="239">
        <v>164513</v>
      </c>
      <c r="AA104" s="239">
        <v>171607</v>
      </c>
      <c r="AB104" s="239">
        <v>178700</v>
      </c>
      <c r="AC104" s="239">
        <v>185794</v>
      </c>
      <c r="AD104" s="239">
        <v>192888</v>
      </c>
      <c r="AE104" s="239">
        <v>199981</v>
      </c>
      <c r="AF104" s="239">
        <v>207075</v>
      </c>
      <c r="AG104" s="239">
        <v>214169</v>
      </c>
      <c r="AH104" s="239">
        <v>221262</v>
      </c>
      <c r="AI104" s="239">
        <v>228356</v>
      </c>
      <c r="AJ104" s="239">
        <v>235450</v>
      </c>
      <c r="AK104" s="239">
        <v>242543</v>
      </c>
      <c r="AL104" s="239">
        <v>249637</v>
      </c>
      <c r="AM104" s="239">
        <v>256895</v>
      </c>
      <c r="AN104" s="239">
        <v>264153</v>
      </c>
      <c r="AO104" s="239">
        <v>271411</v>
      </c>
      <c r="AP104" s="239">
        <v>278668</v>
      </c>
      <c r="AQ104" s="239">
        <v>285926</v>
      </c>
      <c r="AR104" s="239">
        <v>293184</v>
      </c>
      <c r="AS104" s="239">
        <v>300442</v>
      </c>
      <c r="AT104" s="239">
        <v>307700</v>
      </c>
      <c r="AU104" s="239">
        <v>314958</v>
      </c>
      <c r="AV104" s="239">
        <v>322215</v>
      </c>
      <c r="AW104" s="239">
        <v>329473</v>
      </c>
      <c r="AX104" s="239">
        <v>336731</v>
      </c>
      <c r="AY104" s="239">
        <v>344157</v>
      </c>
      <c r="AZ104" s="239">
        <v>351583</v>
      </c>
      <c r="BA104" s="239">
        <v>359009</v>
      </c>
      <c r="BB104" s="239">
        <v>366434</v>
      </c>
      <c r="BC104" s="239">
        <v>373860</v>
      </c>
      <c r="BD104" s="239">
        <v>381286</v>
      </c>
      <c r="BE104" s="239">
        <v>388712</v>
      </c>
      <c r="BF104" s="239">
        <v>396138</v>
      </c>
      <c r="BG104" s="239">
        <v>403564</v>
      </c>
      <c r="BH104" s="239">
        <v>410989</v>
      </c>
      <c r="BI104" s="239">
        <v>418415</v>
      </c>
      <c r="BJ104" s="239">
        <v>425841</v>
      </c>
      <c r="BK104" s="239">
        <v>433439</v>
      </c>
      <c r="BL104" s="239">
        <v>441036</v>
      </c>
      <c r="BM104" s="239">
        <v>448634</v>
      </c>
      <c r="BN104" s="239">
        <v>456232</v>
      </c>
      <c r="BO104" s="239">
        <v>463829</v>
      </c>
      <c r="BP104" s="239">
        <v>471427</v>
      </c>
      <c r="BQ104" s="239">
        <v>479025</v>
      </c>
      <c r="BR104" s="239">
        <v>486622</v>
      </c>
      <c r="BS104" s="239">
        <v>494220</v>
      </c>
      <c r="BT104" s="239">
        <v>501818</v>
      </c>
      <c r="BU104" s="239">
        <v>509415</v>
      </c>
      <c r="BV104" s="239">
        <v>517013</v>
      </c>
      <c r="BW104" s="239">
        <v>524787</v>
      </c>
      <c r="BX104" s="239">
        <v>532560</v>
      </c>
      <c r="BY104" s="239">
        <v>540334</v>
      </c>
      <c r="BZ104" s="239">
        <v>548107</v>
      </c>
      <c r="CA104" s="239">
        <v>555881</v>
      </c>
      <c r="CB104" s="239">
        <v>563654</v>
      </c>
      <c r="CC104" s="239">
        <v>571428</v>
      </c>
      <c r="CD104" s="239">
        <v>579201</v>
      </c>
      <c r="CE104" s="239">
        <v>586975</v>
      </c>
      <c r="CF104" s="239">
        <v>594748</v>
      </c>
      <c r="CG104" s="239">
        <v>602522</v>
      </c>
      <c r="CH104" s="239">
        <v>610295</v>
      </c>
      <c r="CI104" s="239">
        <v>618248</v>
      </c>
      <c r="CJ104" s="239">
        <v>626202</v>
      </c>
      <c r="CK104" s="239">
        <v>634155</v>
      </c>
      <c r="CL104" s="239">
        <v>642109</v>
      </c>
      <c r="CM104" s="239">
        <v>650062</v>
      </c>
      <c r="CN104" s="239">
        <v>658016</v>
      </c>
      <c r="CO104" s="239">
        <v>665969</v>
      </c>
      <c r="CP104" s="239">
        <v>673922</v>
      </c>
      <c r="CQ104" s="239">
        <v>681876</v>
      </c>
      <c r="CR104" s="239">
        <v>689829</v>
      </c>
      <c r="CS104" s="239">
        <v>697783</v>
      </c>
      <c r="CT104" s="240">
        <v>705736</v>
      </c>
    </row>
    <row r="105" spans="1:98" s="241" customFormat="1" ht="13" outlineLevel="1" x14ac:dyDescent="0.3">
      <c r="A105" s="235" t="s">
        <v>61</v>
      </c>
      <c r="B105" s="239" t="s">
        <v>17</v>
      </c>
      <c r="C105" s="237">
        <v>6799</v>
      </c>
      <c r="D105" s="239">
        <v>13599</v>
      </c>
      <c r="E105" s="239">
        <v>20398</v>
      </c>
      <c r="F105" s="239">
        <v>27197</v>
      </c>
      <c r="G105" s="239">
        <v>33997</v>
      </c>
      <c r="H105" s="239">
        <v>40796</v>
      </c>
      <c r="I105" s="239">
        <v>47595</v>
      </c>
      <c r="J105" s="239">
        <v>54395</v>
      </c>
      <c r="K105" s="239">
        <v>61194</v>
      </c>
      <c r="L105" s="239">
        <v>67993</v>
      </c>
      <c r="M105" s="239">
        <v>74793</v>
      </c>
      <c r="N105" s="239">
        <v>88391</v>
      </c>
      <c r="O105" s="239">
        <v>95916</v>
      </c>
      <c r="P105" s="239">
        <v>103440</v>
      </c>
      <c r="Q105" s="239">
        <v>110965</v>
      </c>
      <c r="R105" s="239">
        <v>118490</v>
      </c>
      <c r="S105" s="239">
        <v>126014</v>
      </c>
      <c r="T105" s="239">
        <v>133539</v>
      </c>
      <c r="U105" s="239">
        <v>141064</v>
      </c>
      <c r="V105" s="239">
        <v>148588</v>
      </c>
      <c r="W105" s="239">
        <v>156113</v>
      </c>
      <c r="X105" s="239">
        <v>163638</v>
      </c>
      <c r="Y105" s="239">
        <v>171162</v>
      </c>
      <c r="Z105" s="239">
        <v>178687</v>
      </c>
      <c r="AA105" s="239">
        <v>186374</v>
      </c>
      <c r="AB105" s="239">
        <v>194060</v>
      </c>
      <c r="AC105" s="239">
        <v>201747</v>
      </c>
      <c r="AD105" s="239">
        <v>209433</v>
      </c>
      <c r="AE105" s="239">
        <v>217120</v>
      </c>
      <c r="AF105" s="239">
        <v>224807</v>
      </c>
      <c r="AG105" s="239">
        <v>232493</v>
      </c>
      <c r="AH105" s="239">
        <v>240180</v>
      </c>
      <c r="AI105" s="239">
        <v>247866</v>
      </c>
      <c r="AJ105" s="239">
        <v>255553</v>
      </c>
      <c r="AK105" s="239">
        <v>263239</v>
      </c>
      <c r="AL105" s="239">
        <v>270926</v>
      </c>
      <c r="AM105" s="239">
        <v>278778</v>
      </c>
      <c r="AN105" s="239">
        <v>286630</v>
      </c>
      <c r="AO105" s="239">
        <v>294483</v>
      </c>
      <c r="AP105" s="239">
        <v>302335</v>
      </c>
      <c r="AQ105" s="239">
        <v>310187</v>
      </c>
      <c r="AR105" s="239">
        <v>318039</v>
      </c>
      <c r="AS105" s="239">
        <v>325891</v>
      </c>
      <c r="AT105" s="239">
        <v>333743</v>
      </c>
      <c r="AU105" s="239">
        <v>341596</v>
      </c>
      <c r="AV105" s="239">
        <v>349448</v>
      </c>
      <c r="AW105" s="239">
        <v>357300</v>
      </c>
      <c r="AX105" s="239">
        <v>365152</v>
      </c>
      <c r="AY105" s="239">
        <v>373173</v>
      </c>
      <c r="AZ105" s="239">
        <v>381195</v>
      </c>
      <c r="BA105" s="239">
        <v>389216</v>
      </c>
      <c r="BB105" s="239">
        <v>397237</v>
      </c>
      <c r="BC105" s="239">
        <v>405258</v>
      </c>
      <c r="BD105" s="239">
        <v>413280</v>
      </c>
      <c r="BE105" s="239">
        <v>421301</v>
      </c>
      <c r="BF105" s="239">
        <v>429322</v>
      </c>
      <c r="BG105" s="239">
        <v>437343</v>
      </c>
      <c r="BH105" s="239">
        <v>445365</v>
      </c>
      <c r="BI105" s="239">
        <v>453386</v>
      </c>
      <c r="BJ105" s="239">
        <v>461407</v>
      </c>
      <c r="BK105" s="239">
        <v>469601</v>
      </c>
      <c r="BL105" s="239">
        <v>477795</v>
      </c>
      <c r="BM105" s="239">
        <v>485989</v>
      </c>
      <c r="BN105" s="239">
        <v>494183</v>
      </c>
      <c r="BO105" s="239">
        <v>502377</v>
      </c>
      <c r="BP105" s="239">
        <v>510571</v>
      </c>
      <c r="BQ105" s="239">
        <v>518764</v>
      </c>
      <c r="BR105" s="239">
        <v>526958</v>
      </c>
      <c r="BS105" s="239">
        <v>535152</v>
      </c>
      <c r="BT105" s="239">
        <v>543346</v>
      </c>
      <c r="BU105" s="239">
        <v>551540</v>
      </c>
      <c r="BV105" s="239">
        <v>559734</v>
      </c>
      <c r="BW105" s="239">
        <v>568104</v>
      </c>
      <c r="BX105" s="239">
        <v>576475</v>
      </c>
      <c r="BY105" s="239">
        <v>584845</v>
      </c>
      <c r="BZ105" s="239">
        <v>593215</v>
      </c>
      <c r="CA105" s="239">
        <v>601586</v>
      </c>
      <c r="CB105" s="239">
        <v>609956</v>
      </c>
      <c r="CC105" s="239">
        <v>618326</v>
      </c>
      <c r="CD105" s="239">
        <v>626697</v>
      </c>
      <c r="CE105" s="239">
        <v>635067</v>
      </c>
      <c r="CF105" s="239">
        <v>643437</v>
      </c>
      <c r="CG105" s="239">
        <v>651808</v>
      </c>
      <c r="CH105" s="239">
        <v>660178</v>
      </c>
      <c r="CI105" s="239">
        <v>668729</v>
      </c>
      <c r="CJ105" s="239">
        <v>677279</v>
      </c>
      <c r="CK105" s="239">
        <v>685830</v>
      </c>
      <c r="CL105" s="239">
        <v>694380</v>
      </c>
      <c r="CM105" s="239">
        <v>702931</v>
      </c>
      <c r="CN105" s="239">
        <v>711482</v>
      </c>
      <c r="CO105" s="239">
        <v>720032</v>
      </c>
      <c r="CP105" s="239">
        <v>728583</v>
      </c>
      <c r="CQ105" s="239">
        <v>737133</v>
      </c>
      <c r="CR105" s="239">
        <v>745684</v>
      </c>
      <c r="CS105" s="239">
        <v>754234</v>
      </c>
      <c r="CT105" s="240">
        <v>762785</v>
      </c>
    </row>
    <row r="106" spans="1:98" s="241" customFormat="1" ht="13" outlineLevel="1" x14ac:dyDescent="0.3">
      <c r="A106" s="235" t="s">
        <v>46</v>
      </c>
      <c r="B106" s="239" t="s">
        <v>727</v>
      </c>
      <c r="C106" s="237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39"/>
      <c r="P106" s="239"/>
      <c r="Q106" s="239"/>
      <c r="R106" s="239"/>
      <c r="S106" s="239"/>
      <c r="T106" s="239"/>
      <c r="U106" s="239"/>
      <c r="V106" s="239"/>
      <c r="W106" s="239"/>
      <c r="X106" s="239"/>
      <c r="Y106" s="239"/>
      <c r="Z106" s="239"/>
      <c r="AA106" s="239"/>
      <c r="AB106" s="239"/>
      <c r="AC106" s="239"/>
      <c r="AD106" s="239"/>
      <c r="AE106" s="239"/>
      <c r="AF106" s="239"/>
      <c r="AG106" s="239"/>
      <c r="AH106" s="239"/>
      <c r="AI106" s="239"/>
      <c r="AJ106" s="239"/>
      <c r="AK106" s="239"/>
      <c r="AL106" s="239"/>
      <c r="AM106" s="239"/>
      <c r="AN106" s="239"/>
      <c r="AO106" s="239"/>
      <c r="AP106" s="239"/>
      <c r="AQ106" s="239"/>
      <c r="AR106" s="239"/>
      <c r="AS106" s="239"/>
      <c r="AT106" s="239"/>
      <c r="AU106" s="239"/>
      <c r="AV106" s="239"/>
      <c r="AW106" s="239"/>
      <c r="AX106" s="239"/>
      <c r="AY106" s="239"/>
      <c r="AZ106" s="239"/>
      <c r="BA106" s="239"/>
      <c r="BB106" s="239"/>
      <c r="BC106" s="239"/>
      <c r="BD106" s="239"/>
      <c r="BE106" s="239"/>
      <c r="BF106" s="239"/>
      <c r="BG106" s="239"/>
      <c r="BH106" s="239"/>
      <c r="BI106" s="239"/>
      <c r="BJ106" s="239"/>
      <c r="BK106" s="239"/>
      <c r="BL106" s="239"/>
      <c r="BM106" s="239"/>
      <c r="BN106" s="239"/>
      <c r="BO106" s="239"/>
      <c r="BP106" s="239"/>
      <c r="BQ106" s="239"/>
      <c r="BR106" s="239"/>
      <c r="BS106" s="239"/>
      <c r="BT106" s="239"/>
      <c r="BU106" s="239"/>
      <c r="BV106" s="239"/>
      <c r="BW106" s="239"/>
      <c r="BX106" s="239"/>
      <c r="BY106" s="239"/>
      <c r="BZ106" s="239"/>
      <c r="CA106" s="239"/>
      <c r="CB106" s="239"/>
      <c r="CC106" s="239"/>
      <c r="CD106" s="239"/>
      <c r="CE106" s="239"/>
      <c r="CF106" s="239"/>
      <c r="CG106" s="239"/>
      <c r="CH106" s="239"/>
      <c r="CI106" s="239"/>
      <c r="CJ106" s="239"/>
      <c r="CK106" s="239"/>
      <c r="CL106" s="239"/>
      <c r="CM106" s="239"/>
      <c r="CN106" s="239"/>
      <c r="CO106" s="239"/>
      <c r="CP106" s="239"/>
      <c r="CQ106" s="239"/>
      <c r="CR106" s="239"/>
      <c r="CS106" s="239"/>
      <c r="CT106" s="240"/>
    </row>
    <row r="107" spans="1:98" s="113" customFormat="1" outlineLevel="1" x14ac:dyDescent="0.35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</row>
    <row r="108" spans="1:98" s="113" customFormat="1" outlineLevel="1" x14ac:dyDescent="0.35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</row>
    <row r="109" spans="1:98" s="113" customFormat="1" outlineLevel="1" x14ac:dyDescent="0.35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</row>
    <row r="110" spans="1:98" s="113" customFormat="1" outlineLevel="1" x14ac:dyDescent="0.35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</row>
    <row r="111" spans="1:98" s="113" customFormat="1" x14ac:dyDescent="0.35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</row>
    <row r="112" spans="1:98" s="113" customFormat="1" ht="18.5" x14ac:dyDescent="0.35">
      <c r="A112" s="53" t="s">
        <v>197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</row>
    <row r="113" spans="1:98" s="113" customFormat="1" x14ac:dyDescent="0.35">
      <c r="A113" s="232">
        <f>HOT_rates</f>
        <v>2026</v>
      </c>
      <c r="B113" s="86" t="str">
        <f>HOT_rate_type</f>
        <v>Cost Plus</v>
      </c>
      <c r="C113" s="22"/>
      <c r="D113" s="22"/>
      <c r="E113" s="216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</row>
    <row r="114" spans="1:98" s="113" customFormat="1" outlineLevel="1" x14ac:dyDescent="0.35">
      <c r="A114" s="21" t="s">
        <v>160</v>
      </c>
      <c r="B114" s="22" t="s">
        <v>198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</row>
    <row r="115" spans="1:98" s="113" customFormat="1" outlineLevel="1" x14ac:dyDescent="0.35">
      <c r="A115" s="114" t="s">
        <v>842</v>
      </c>
      <c r="B115" s="32">
        <v>125</v>
      </c>
      <c r="D115" s="22"/>
      <c r="E115" s="199"/>
      <c r="F115" s="200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</row>
    <row r="116" spans="1:98" s="113" customFormat="1" x14ac:dyDescent="0.35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</row>
    <row r="117" spans="1:98" s="113" customFormat="1" x14ac:dyDescent="0.35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</row>
    <row r="118" spans="1:98" s="113" customFormat="1" ht="18.5" collapsed="1" x14ac:dyDescent="0.35">
      <c r="A118" s="53" t="s">
        <v>215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</row>
    <row r="119" spans="1:98" s="113" customFormat="1" hidden="1" outlineLevel="1" x14ac:dyDescent="0.35">
      <c r="A119" s="115" t="s">
        <v>216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</row>
    <row r="120" spans="1:98" s="113" customFormat="1" hidden="1" outlineLevel="1" x14ac:dyDescent="0.35">
      <c r="A120" s="116" t="s">
        <v>217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</row>
    <row r="121" spans="1:98" s="113" customFormat="1" hidden="1" outlineLevel="1" x14ac:dyDescent="0.35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</row>
    <row r="122" spans="1:98" s="113" customFormat="1" hidden="1" outlineLevel="1" x14ac:dyDescent="0.35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</row>
    <row r="123" spans="1:98" s="113" customFormat="1" hidden="1" outlineLevel="1" x14ac:dyDescent="0.35">
      <c r="A123" s="117" t="s">
        <v>218</v>
      </c>
      <c r="B123" s="117" t="s">
        <v>169</v>
      </c>
      <c r="C123" s="117" t="s">
        <v>219</v>
      </c>
      <c r="D123" s="118" t="s">
        <v>220</v>
      </c>
      <c r="E123" s="117" t="s">
        <v>221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</row>
    <row r="124" spans="1:98" s="113" customFormat="1" hidden="1" outlineLevel="1" x14ac:dyDescent="0.35">
      <c r="A124" s="113" t="s">
        <v>222</v>
      </c>
      <c r="B124" s="119" t="s">
        <v>223</v>
      </c>
      <c r="C124" s="119" t="str">
        <f t="shared" ref="C124:C155" si="0">A124&amp;" "&amp;B124&amp;" "&amp;"CCC: "&amp;D124</f>
        <v>AL Albania CCC: 0,538</v>
      </c>
      <c r="D124" s="120">
        <v>0.53800000000000003</v>
      </c>
      <c r="E124" s="113" t="s">
        <v>224</v>
      </c>
      <c r="F124" s="22"/>
      <c r="G124"/>
      <c r="H124" s="257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</row>
    <row r="125" spans="1:98" s="113" customFormat="1" hidden="1" outlineLevel="1" x14ac:dyDescent="0.35">
      <c r="A125" s="113" t="s">
        <v>225</v>
      </c>
      <c r="B125" s="119" t="s">
        <v>226</v>
      </c>
      <c r="C125" s="119" t="str">
        <f t="shared" si="0"/>
        <v>DZ Algeria CCC: 0,62</v>
      </c>
      <c r="D125" s="120">
        <v>0.62</v>
      </c>
      <c r="E125" s="113" t="s">
        <v>227</v>
      </c>
      <c r="F125" s="22"/>
      <c r="G125"/>
      <c r="H125" s="257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</row>
    <row r="126" spans="1:98" s="113" customFormat="1" hidden="1" outlineLevel="1" x14ac:dyDescent="0.35">
      <c r="A126" s="113" t="s">
        <v>228</v>
      </c>
      <c r="B126" s="119" t="s">
        <v>229</v>
      </c>
      <c r="C126" s="119" t="str">
        <f t="shared" si="0"/>
        <v>AO Angola CCC: 1,186</v>
      </c>
      <c r="D126" s="120">
        <v>1.1859999999999999</v>
      </c>
      <c r="E126" s="113" t="s">
        <v>227</v>
      </c>
      <c r="F126" s="22"/>
      <c r="G126"/>
      <c r="H126" s="257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</row>
    <row r="127" spans="1:98" s="113" customFormat="1" hidden="1" outlineLevel="1" x14ac:dyDescent="0.35">
      <c r="A127" s="113" t="s">
        <v>230</v>
      </c>
      <c r="B127" s="119" t="s">
        <v>231</v>
      </c>
      <c r="C127" s="119" t="str">
        <f t="shared" si="0"/>
        <v>AR Argentina CCC: 0,57</v>
      </c>
      <c r="D127" s="120">
        <v>0.56999999999999995</v>
      </c>
      <c r="E127" s="113" t="s">
        <v>227</v>
      </c>
      <c r="F127" s="22"/>
      <c r="G127" s="258"/>
      <c r="H127" s="25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</row>
    <row r="128" spans="1:98" s="113" customFormat="1" hidden="1" outlineLevel="1" x14ac:dyDescent="0.35">
      <c r="A128" s="113" t="s">
        <v>232</v>
      </c>
      <c r="B128" s="119" t="s">
        <v>233</v>
      </c>
      <c r="C128" s="119" t="str">
        <f t="shared" si="0"/>
        <v>AM Armenia CCC: 0,709</v>
      </c>
      <c r="D128" s="120">
        <v>0.70899999999999996</v>
      </c>
      <c r="E128" s="113" t="s">
        <v>224</v>
      </c>
      <c r="F128" s="22"/>
      <c r="G128" s="258"/>
      <c r="H128" s="259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</row>
    <row r="129" spans="1:98" s="113" customFormat="1" hidden="1" outlineLevel="1" x14ac:dyDescent="0.35">
      <c r="A129" s="113" t="s">
        <v>234</v>
      </c>
      <c r="B129" s="119" t="s">
        <v>235</v>
      </c>
      <c r="C129" s="119" t="str">
        <f t="shared" si="0"/>
        <v>AU Australia CCC: 0,921</v>
      </c>
      <c r="D129" s="120">
        <v>0.92100000000000004</v>
      </c>
      <c r="E129" s="113" t="s">
        <v>227</v>
      </c>
      <c r="F129" s="22"/>
      <c r="G129"/>
      <c r="H129" s="257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</row>
    <row r="130" spans="1:98" s="113" customFormat="1" hidden="1" outlineLevel="1" x14ac:dyDescent="0.35">
      <c r="A130" s="113" t="s">
        <v>236</v>
      </c>
      <c r="B130" s="119" t="s">
        <v>237</v>
      </c>
      <c r="C130" s="119" t="str">
        <f t="shared" si="0"/>
        <v>AT Austria CCC: 0,97</v>
      </c>
      <c r="D130" s="120">
        <v>0.97</v>
      </c>
      <c r="E130" s="113" t="s">
        <v>238</v>
      </c>
      <c r="F130" s="22"/>
      <c r="G130"/>
      <c r="H130" s="257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</row>
    <row r="131" spans="1:98" s="113" customFormat="1" hidden="1" outlineLevel="1" x14ac:dyDescent="0.35">
      <c r="A131" s="113" t="s">
        <v>239</v>
      </c>
      <c r="B131" s="119" t="s">
        <v>240</v>
      </c>
      <c r="C131" s="119" t="str">
        <f t="shared" si="0"/>
        <v>AZ Azerbaijan CCC: 0,749</v>
      </c>
      <c r="D131" s="120">
        <v>0.749</v>
      </c>
      <c r="E131" s="113" t="s">
        <v>227</v>
      </c>
      <c r="F131" s="22"/>
      <c r="G131" s="258"/>
      <c r="H131" s="25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</row>
    <row r="132" spans="1:98" s="113" customFormat="1" hidden="1" outlineLevel="1" x14ac:dyDescent="0.35">
      <c r="A132" s="113" t="s">
        <v>241</v>
      </c>
      <c r="B132" s="119" t="s">
        <v>242</v>
      </c>
      <c r="C132" s="119" t="str">
        <f t="shared" si="0"/>
        <v>BD Bangladesh CCC: 0,741</v>
      </c>
      <c r="D132" s="120">
        <v>0.74099999999999999</v>
      </c>
      <c r="E132" s="113" t="s">
        <v>227</v>
      </c>
      <c r="F132" s="22"/>
      <c r="G132"/>
      <c r="H132" s="257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</row>
    <row r="133" spans="1:98" s="113" customFormat="1" hidden="1" outlineLevel="1" x14ac:dyDescent="0.35">
      <c r="A133" s="113" t="s">
        <v>243</v>
      </c>
      <c r="B133" s="119" t="s">
        <v>244</v>
      </c>
      <c r="C133" s="119" t="str">
        <f t="shared" si="0"/>
        <v>BB Barbados CCC: 1,029</v>
      </c>
      <c r="D133" s="120">
        <v>1.0289999999999999</v>
      </c>
      <c r="E133" s="113" t="s">
        <v>227</v>
      </c>
      <c r="F133" s="22"/>
      <c r="G133" s="258"/>
      <c r="H133" s="25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</row>
    <row r="134" spans="1:98" s="113" customFormat="1" hidden="1" outlineLevel="1" x14ac:dyDescent="0.35">
      <c r="A134" s="113" t="s">
        <v>245</v>
      </c>
      <c r="B134" s="119" t="s">
        <v>246</v>
      </c>
      <c r="C134" s="119" t="str">
        <f t="shared" si="0"/>
        <v>BY Belarus CCC: 0,609</v>
      </c>
      <c r="D134" s="120">
        <v>0.60899999999999999</v>
      </c>
      <c r="E134" s="113" t="s">
        <v>227</v>
      </c>
      <c r="F134" s="22"/>
      <c r="G134" s="258"/>
      <c r="H134" s="259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</row>
    <row r="135" spans="1:98" s="113" customFormat="1" hidden="1" outlineLevel="1" x14ac:dyDescent="0.35">
      <c r="A135" s="113" t="s">
        <v>247</v>
      </c>
      <c r="B135" s="119" t="s">
        <v>248</v>
      </c>
      <c r="C135" s="119" t="str">
        <f t="shared" si="0"/>
        <v>BE Belgium CCC: 0,912</v>
      </c>
      <c r="D135" s="120">
        <v>0.91200000000000003</v>
      </c>
      <c r="E135" s="113" t="s">
        <v>238</v>
      </c>
      <c r="F135" s="22"/>
      <c r="G135" s="258"/>
      <c r="H135" s="25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</row>
    <row r="136" spans="1:98" s="113" customFormat="1" hidden="1" outlineLevel="1" x14ac:dyDescent="0.35">
      <c r="A136" s="113" t="s">
        <v>249</v>
      </c>
      <c r="B136" s="119" t="s">
        <v>250</v>
      </c>
      <c r="C136" s="119" t="str">
        <f t="shared" si="0"/>
        <v>BZ Belize CCC: 0,729</v>
      </c>
      <c r="D136" s="120">
        <v>0.72899999999999998</v>
      </c>
      <c r="E136" s="113" t="s">
        <v>227</v>
      </c>
      <c r="F136" s="22"/>
      <c r="G136"/>
      <c r="H136" s="257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</row>
    <row r="137" spans="1:98" s="113" customFormat="1" hidden="1" outlineLevel="1" x14ac:dyDescent="0.35">
      <c r="A137" s="113" t="s">
        <v>251</v>
      </c>
      <c r="B137" s="119" t="s">
        <v>252</v>
      </c>
      <c r="C137" s="119" t="str">
        <f t="shared" si="0"/>
        <v>BJ Benin CCC: 0,839</v>
      </c>
      <c r="D137" s="120">
        <v>0.83899999999999997</v>
      </c>
      <c r="E137" s="113" t="s">
        <v>227</v>
      </c>
      <c r="F137" s="22"/>
      <c r="G137" s="258"/>
      <c r="H137" s="25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</row>
    <row r="138" spans="1:98" s="113" customFormat="1" hidden="1" outlineLevel="1" x14ac:dyDescent="0.35">
      <c r="A138" s="113" t="s">
        <v>253</v>
      </c>
      <c r="B138" s="119" t="s">
        <v>254</v>
      </c>
      <c r="C138" s="119" t="str">
        <f t="shared" si="0"/>
        <v xml:space="preserve">BM Bermuda CCC: </v>
      </c>
      <c r="D138" s="120"/>
      <c r="E138" s="113" t="s">
        <v>227</v>
      </c>
      <c r="F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</row>
    <row r="139" spans="1:98" s="113" customFormat="1" hidden="1" outlineLevel="1" x14ac:dyDescent="0.35">
      <c r="A139" s="113" t="s">
        <v>255</v>
      </c>
      <c r="B139" s="119" t="s">
        <v>256</v>
      </c>
      <c r="C139" s="119" t="str">
        <f t="shared" si="0"/>
        <v>BO Bolivia (Plurinational State of) CCC: 0,766</v>
      </c>
      <c r="D139" s="120">
        <v>0.76600000000000001</v>
      </c>
      <c r="E139" s="113" t="s">
        <v>227</v>
      </c>
      <c r="F139" s="22"/>
      <c r="G139"/>
      <c r="H139" s="257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</row>
    <row r="140" spans="1:98" s="113" customFormat="1" hidden="1" outlineLevel="1" x14ac:dyDescent="0.35">
      <c r="A140" s="113" t="s">
        <v>257</v>
      </c>
      <c r="B140" s="119" t="s">
        <v>258</v>
      </c>
      <c r="C140" s="119" t="str">
        <f t="shared" si="0"/>
        <v>BA Bosnia and Herzegovina CCC: 0,583</v>
      </c>
      <c r="D140" s="120">
        <v>0.58299999999999996</v>
      </c>
      <c r="E140" s="113" t="s">
        <v>224</v>
      </c>
      <c r="F140" s="22"/>
      <c r="G140"/>
      <c r="H140" s="257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</row>
    <row r="141" spans="1:98" s="113" customFormat="1" hidden="1" outlineLevel="1" x14ac:dyDescent="0.35">
      <c r="A141" s="113" t="s">
        <v>259</v>
      </c>
      <c r="B141" s="119" t="s">
        <v>260</v>
      </c>
      <c r="C141" s="119" t="str">
        <f t="shared" si="0"/>
        <v>BW Botswana CCC: 0,574</v>
      </c>
      <c r="D141" s="120">
        <v>0.57399999999999995</v>
      </c>
      <c r="E141" s="113" t="s">
        <v>227</v>
      </c>
      <c r="F141" s="22"/>
      <c r="G141"/>
      <c r="H141" s="257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</row>
    <row r="142" spans="1:98" s="113" customFormat="1" hidden="1" outlineLevel="1" x14ac:dyDescent="0.35">
      <c r="A142" s="113" t="s">
        <v>261</v>
      </c>
      <c r="B142" s="119" t="s">
        <v>262</v>
      </c>
      <c r="C142" s="119" t="str">
        <f t="shared" si="0"/>
        <v>BR Brazil CCC: 0,773</v>
      </c>
      <c r="D142" s="120">
        <v>0.77300000000000002</v>
      </c>
      <c r="E142" s="113" t="s">
        <v>227</v>
      </c>
      <c r="F142" s="22"/>
      <c r="G142" s="258"/>
      <c r="H142" s="259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</row>
    <row r="143" spans="1:98" s="113" customFormat="1" hidden="1" outlineLevel="1" x14ac:dyDescent="0.35">
      <c r="A143" s="113" t="s">
        <v>263</v>
      </c>
      <c r="B143" s="119" t="s">
        <v>264</v>
      </c>
      <c r="C143" s="119" t="str">
        <f t="shared" si="0"/>
        <v>BG Bulgaria CCC: 0,5</v>
      </c>
      <c r="D143" s="120">
        <v>0.5</v>
      </c>
      <c r="E143" s="113" t="s">
        <v>238</v>
      </c>
      <c r="F143" s="22"/>
      <c r="G143"/>
      <c r="H143" s="257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</row>
    <row r="144" spans="1:98" s="113" customFormat="1" hidden="1" outlineLevel="1" x14ac:dyDescent="0.35">
      <c r="A144" s="113" t="s">
        <v>265</v>
      </c>
      <c r="B144" s="119" t="s">
        <v>266</v>
      </c>
      <c r="C144" s="119" t="str">
        <f t="shared" si="0"/>
        <v>BF Burkina Faso CCC: 0,867</v>
      </c>
      <c r="D144" s="120">
        <v>0.86699999999999999</v>
      </c>
      <c r="E144" s="113" t="s">
        <v>227</v>
      </c>
      <c r="F144" s="22"/>
      <c r="G144" s="258"/>
      <c r="H144" s="259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</row>
    <row r="145" spans="1:98" s="113" customFormat="1" hidden="1" outlineLevel="1" x14ac:dyDescent="0.35">
      <c r="A145" s="113" t="s">
        <v>267</v>
      </c>
      <c r="B145" s="119" t="s">
        <v>268</v>
      </c>
      <c r="C145" s="119" t="str">
        <f t="shared" si="0"/>
        <v>BI Burundi CCC: 0,742</v>
      </c>
      <c r="D145" s="120">
        <v>0.74199999999999999</v>
      </c>
      <c r="E145" s="113" t="s">
        <v>227</v>
      </c>
      <c r="F145" s="22"/>
      <c r="G145"/>
      <c r="H145" s="257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</row>
    <row r="146" spans="1:98" s="113" customFormat="1" hidden="1" outlineLevel="1" x14ac:dyDescent="0.35">
      <c r="A146" s="113" t="s">
        <v>269</v>
      </c>
      <c r="B146" s="119" t="s">
        <v>270</v>
      </c>
      <c r="C146" s="119" t="str">
        <f t="shared" si="0"/>
        <v>CV Cabo Verde CCC: 0,635</v>
      </c>
      <c r="D146" s="120">
        <v>0.63500000000000001</v>
      </c>
      <c r="E146" s="113" t="s">
        <v>227</v>
      </c>
      <c r="F146" s="22"/>
      <c r="G146" s="258"/>
      <c r="H146" s="259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</row>
    <row r="147" spans="1:98" s="113" customFormat="1" hidden="1" outlineLevel="1" x14ac:dyDescent="0.35">
      <c r="A147" s="113" t="s">
        <v>271</v>
      </c>
      <c r="B147" s="119" t="s">
        <v>272</v>
      </c>
      <c r="C147" s="119" t="str">
        <f t="shared" si="0"/>
        <v>KH Cambodia CCC: 0,717</v>
      </c>
      <c r="D147" s="120">
        <v>0.71699999999999997</v>
      </c>
      <c r="E147" s="113" t="s">
        <v>227</v>
      </c>
      <c r="F147" s="22"/>
      <c r="G147" s="258"/>
      <c r="H147" s="25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</row>
    <row r="148" spans="1:98" s="113" customFormat="1" hidden="1" outlineLevel="1" x14ac:dyDescent="0.35">
      <c r="A148" s="113" t="s">
        <v>273</v>
      </c>
      <c r="B148" s="119" t="s">
        <v>274</v>
      </c>
      <c r="C148" s="119" t="str">
        <f t="shared" si="0"/>
        <v>CM Cameroon CCC: 0,801</v>
      </c>
      <c r="D148" s="120">
        <v>0.80100000000000005</v>
      </c>
      <c r="E148" s="113" t="s">
        <v>227</v>
      </c>
      <c r="F148" s="22"/>
      <c r="G148"/>
      <c r="H148" s="257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</row>
    <row r="149" spans="1:98" s="113" customFormat="1" hidden="1" outlineLevel="1" x14ac:dyDescent="0.35">
      <c r="A149" s="113" t="s">
        <v>275</v>
      </c>
      <c r="B149" s="119" t="s">
        <v>276</v>
      </c>
      <c r="C149" s="119" t="str">
        <f t="shared" si="0"/>
        <v>CA Canada CCC: 0,869</v>
      </c>
      <c r="D149" s="120">
        <v>0.86899999999999999</v>
      </c>
      <c r="E149" s="113" t="s">
        <v>227</v>
      </c>
      <c r="F149" s="22"/>
      <c r="G149" s="258"/>
      <c r="H149" s="25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</row>
    <row r="150" spans="1:98" s="113" customFormat="1" hidden="1" outlineLevel="1" x14ac:dyDescent="0.35">
      <c r="A150" s="113" t="s">
        <v>277</v>
      </c>
      <c r="B150" s="119" t="s">
        <v>278</v>
      </c>
      <c r="C150" s="119" t="str">
        <f t="shared" si="0"/>
        <v>CF Central African Republic (the) CCC: 0,997</v>
      </c>
      <c r="D150" s="120">
        <v>0.997</v>
      </c>
      <c r="E150" s="113" t="s">
        <v>227</v>
      </c>
      <c r="F150" s="22"/>
      <c r="G150" s="258"/>
      <c r="H150" s="259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</row>
    <row r="151" spans="1:98" s="113" customFormat="1" hidden="1" outlineLevel="1" x14ac:dyDescent="0.35">
      <c r="A151" s="113" t="s">
        <v>279</v>
      </c>
      <c r="B151" s="119" t="s">
        <v>280</v>
      </c>
      <c r="C151" s="119" t="str">
        <f t="shared" si="0"/>
        <v>TD Chad CCC: 0,913</v>
      </c>
      <c r="D151" s="120">
        <v>0.91300000000000003</v>
      </c>
      <c r="E151" s="113" t="s">
        <v>227</v>
      </c>
      <c r="F151" s="22"/>
      <c r="G151" s="258"/>
      <c r="H151" s="259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</row>
    <row r="152" spans="1:98" s="113" customFormat="1" hidden="1" outlineLevel="1" x14ac:dyDescent="0.35">
      <c r="A152" s="113" t="s">
        <v>281</v>
      </c>
      <c r="B152" s="119" t="s">
        <v>282</v>
      </c>
      <c r="C152" s="119" t="str">
        <f t="shared" si="0"/>
        <v>CL Chile CCC: 0,634</v>
      </c>
      <c r="D152" s="120">
        <v>0.63400000000000001</v>
      </c>
      <c r="E152" s="113" t="s">
        <v>227</v>
      </c>
      <c r="F152" s="22"/>
      <c r="G152" s="258"/>
      <c r="H152" s="259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</row>
    <row r="153" spans="1:98" s="113" customFormat="1" hidden="1" outlineLevel="1" x14ac:dyDescent="0.35">
      <c r="A153" s="113" t="s">
        <v>283</v>
      </c>
      <c r="B153" s="119" t="s">
        <v>284</v>
      </c>
      <c r="C153" s="119" t="str">
        <f t="shared" si="0"/>
        <v>CN China CCC: 0,821</v>
      </c>
      <c r="D153" s="120">
        <v>0.82099999999999995</v>
      </c>
      <c r="E153" s="113" t="s">
        <v>227</v>
      </c>
      <c r="F153" s="22"/>
      <c r="G153" s="258"/>
      <c r="H153" s="259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</row>
    <row r="154" spans="1:98" s="113" customFormat="1" hidden="1" outlineLevel="1" x14ac:dyDescent="0.35">
      <c r="A154" s="113" t="s">
        <v>285</v>
      </c>
      <c r="B154" s="119" t="s">
        <v>286</v>
      </c>
      <c r="C154" s="119" t="str">
        <f t="shared" si="0"/>
        <v>CO Colombia CCC: 0,617</v>
      </c>
      <c r="D154" s="120">
        <v>0.61699999999999999</v>
      </c>
      <c r="E154" s="113" t="s">
        <v>227</v>
      </c>
      <c r="F154" s="22"/>
      <c r="G154"/>
      <c r="H154" s="257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</row>
    <row r="155" spans="1:98" s="113" customFormat="1" hidden="1" outlineLevel="1" x14ac:dyDescent="0.35">
      <c r="A155" s="113" t="s">
        <v>287</v>
      </c>
      <c r="B155" s="119" t="s">
        <v>288</v>
      </c>
      <c r="C155" s="119" t="str">
        <f t="shared" si="0"/>
        <v>KM Comoros (the) CCC: 0,691</v>
      </c>
      <c r="D155" s="120">
        <v>0.69099999999999995</v>
      </c>
      <c r="E155" s="113" t="s">
        <v>227</v>
      </c>
      <c r="F155" s="22"/>
      <c r="G155"/>
      <c r="H155" s="257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</row>
    <row r="156" spans="1:98" s="113" customFormat="1" hidden="1" outlineLevel="1" x14ac:dyDescent="0.35">
      <c r="A156" s="113" t="s">
        <v>289</v>
      </c>
      <c r="B156" s="119" t="s">
        <v>290</v>
      </c>
      <c r="C156" s="119" t="str">
        <f t="shared" ref="C156:C187" si="1">A156&amp;" "&amp;B156&amp;" "&amp;"CCC: "&amp;D156</f>
        <v>CD Congo (the Democratic Republic of the) CCC: 1,386</v>
      </c>
      <c r="D156" s="120">
        <v>1.3859999999999999</v>
      </c>
      <c r="E156" s="113" t="s">
        <v>227</v>
      </c>
      <c r="F156" s="22"/>
      <c r="G156"/>
      <c r="H156" s="257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</row>
    <row r="157" spans="1:98" s="113" customFormat="1" hidden="1" outlineLevel="1" x14ac:dyDescent="0.35">
      <c r="A157" s="113" t="s">
        <v>291</v>
      </c>
      <c r="B157" s="119" t="s">
        <v>292</v>
      </c>
      <c r="C157" s="119" t="str">
        <f t="shared" si="1"/>
        <v>CG Congo (the) CCC: 1,07</v>
      </c>
      <c r="D157" s="120">
        <v>1.07</v>
      </c>
      <c r="E157" s="113" t="s">
        <v>227</v>
      </c>
      <c r="F157" s="22"/>
      <c r="G157"/>
      <c r="H157" s="257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</row>
    <row r="158" spans="1:98" s="113" customFormat="1" hidden="1" outlineLevel="1" x14ac:dyDescent="0.35">
      <c r="A158" s="113" t="s">
        <v>293</v>
      </c>
      <c r="B158" s="119" t="s">
        <v>294</v>
      </c>
      <c r="C158" s="119" t="str">
        <f t="shared" si="1"/>
        <v>CR Costa Rica CCC: 0,708</v>
      </c>
      <c r="D158" s="120">
        <v>0.70799999999999996</v>
      </c>
      <c r="E158" s="113" t="s">
        <v>227</v>
      </c>
      <c r="F158" s="22"/>
      <c r="G158" s="258"/>
      <c r="H158" s="259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</row>
    <row r="159" spans="1:98" s="113" customFormat="1" hidden="1" outlineLevel="1" x14ac:dyDescent="0.35">
      <c r="A159" s="113" t="s">
        <v>295</v>
      </c>
      <c r="B159" s="119" t="s">
        <v>296</v>
      </c>
      <c r="C159" s="119" t="str">
        <f t="shared" si="1"/>
        <v>CI Côte d'Ivoire CCC: 0,863</v>
      </c>
      <c r="D159" s="120">
        <v>0.86299999999999999</v>
      </c>
      <c r="E159" s="113" t="s">
        <v>227</v>
      </c>
      <c r="F159" s="22"/>
      <c r="G159"/>
      <c r="H159" s="257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</row>
    <row r="160" spans="1:98" s="113" customFormat="1" hidden="1" outlineLevel="1" x14ac:dyDescent="0.35">
      <c r="A160" s="113" t="s">
        <v>297</v>
      </c>
      <c r="B160" s="119" t="s">
        <v>298</v>
      </c>
      <c r="C160" s="119" t="str">
        <f t="shared" si="1"/>
        <v>HR Croatia CCC: 0,689</v>
      </c>
      <c r="D160" s="120">
        <v>0.68899999999999995</v>
      </c>
      <c r="E160" s="113" t="s">
        <v>238</v>
      </c>
      <c r="F160" s="22"/>
      <c r="G160"/>
      <c r="H160" s="257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</row>
    <row r="161" spans="1:98" s="113" customFormat="1" hidden="1" outlineLevel="1" x14ac:dyDescent="0.35">
      <c r="A161" s="113" t="s">
        <v>299</v>
      </c>
      <c r="B161" s="119" t="s">
        <v>300</v>
      </c>
      <c r="C161" s="119" t="str">
        <f t="shared" si="1"/>
        <v>CU Cuba CCC: 0,753</v>
      </c>
      <c r="D161" s="120">
        <v>0.753</v>
      </c>
      <c r="E161" s="113" t="s">
        <v>227</v>
      </c>
      <c r="F161" s="22"/>
      <c r="G161"/>
      <c r="H161" s="257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</row>
    <row r="162" spans="1:98" s="113" customFormat="1" hidden="1" outlineLevel="1" x14ac:dyDescent="0.35">
      <c r="A162" s="113" t="s">
        <v>301</v>
      </c>
      <c r="B162" s="119" t="s">
        <v>302</v>
      </c>
      <c r="C162" s="119" t="str">
        <f t="shared" si="1"/>
        <v>CY Cyprus CCC: 0,707</v>
      </c>
      <c r="D162" s="120">
        <v>0.70699999999999996</v>
      </c>
      <c r="E162" s="113" t="s">
        <v>238</v>
      </c>
      <c r="F162" s="22"/>
      <c r="G162" s="258"/>
      <c r="H162" s="259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</row>
    <row r="163" spans="1:98" s="113" customFormat="1" hidden="1" outlineLevel="1" x14ac:dyDescent="0.35">
      <c r="A163" s="113" t="s">
        <v>303</v>
      </c>
      <c r="B163" s="119" t="s">
        <v>304</v>
      </c>
      <c r="C163" s="119" t="str">
        <f t="shared" si="1"/>
        <v>CZ Czechia CCC: 0,722</v>
      </c>
      <c r="D163" s="120">
        <v>0.72199999999999998</v>
      </c>
      <c r="E163" s="113" t="s">
        <v>238</v>
      </c>
      <c r="F163" s="22"/>
      <c r="G163"/>
      <c r="H163" s="257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</row>
    <row r="164" spans="1:98" s="113" customFormat="1" hidden="1" outlineLevel="1" x14ac:dyDescent="0.35">
      <c r="A164" s="113" t="s">
        <v>305</v>
      </c>
      <c r="B164" s="119" t="s">
        <v>306</v>
      </c>
      <c r="C164" s="119" t="str">
        <f t="shared" si="1"/>
        <v>DK Denmark CCC: 1,204</v>
      </c>
      <c r="D164" s="120">
        <v>1.204</v>
      </c>
      <c r="E164" s="113" t="s">
        <v>238</v>
      </c>
      <c r="F164" s="22"/>
      <c r="G164"/>
      <c r="H164" s="257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</row>
    <row r="165" spans="1:98" s="113" customFormat="1" hidden="1" outlineLevel="1" x14ac:dyDescent="0.35">
      <c r="A165" s="113" t="s">
        <v>307</v>
      </c>
      <c r="B165" s="119" t="s">
        <v>308</v>
      </c>
      <c r="C165" s="119" t="str">
        <f t="shared" si="1"/>
        <v>DJ Djibouti CCC: 0,796</v>
      </c>
      <c r="D165" s="120">
        <v>0.79600000000000004</v>
      </c>
      <c r="E165" s="113" t="s">
        <v>227</v>
      </c>
      <c r="F165" s="22"/>
      <c r="G165"/>
      <c r="H165" s="257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</row>
    <row r="166" spans="1:98" s="113" customFormat="1" hidden="1" outlineLevel="1" x14ac:dyDescent="0.35">
      <c r="A166" s="113" t="s">
        <v>309</v>
      </c>
      <c r="B166" s="119" t="s">
        <v>310</v>
      </c>
      <c r="C166" s="119" t="str">
        <f t="shared" si="1"/>
        <v>DO Dominican Republic (the) CCC: 0,56</v>
      </c>
      <c r="D166" s="120">
        <v>0.56000000000000005</v>
      </c>
      <c r="E166" s="113" t="s">
        <v>227</v>
      </c>
      <c r="F166" s="22"/>
      <c r="G166" s="258"/>
      <c r="H166" s="259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</row>
    <row r="167" spans="1:98" s="113" customFormat="1" hidden="1" outlineLevel="1" x14ac:dyDescent="0.35">
      <c r="A167" s="113" t="s">
        <v>311</v>
      </c>
      <c r="B167" s="119" t="s">
        <v>312</v>
      </c>
      <c r="C167" s="119" t="str">
        <f t="shared" si="1"/>
        <v>EC Ecuador CCC: 0,724</v>
      </c>
      <c r="D167" s="120">
        <v>0.72399999999999998</v>
      </c>
      <c r="E167" s="113" t="s">
        <v>227</v>
      </c>
      <c r="F167" s="22"/>
      <c r="G167" s="258"/>
      <c r="H167" s="259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</row>
    <row r="168" spans="1:98" s="113" customFormat="1" hidden="1" outlineLevel="1" x14ac:dyDescent="0.35">
      <c r="A168" s="113" t="s">
        <v>313</v>
      </c>
      <c r="B168" s="119" t="s">
        <v>314</v>
      </c>
      <c r="C168" s="119" t="str">
        <f t="shared" si="1"/>
        <v>EG Egypt CCC: 0,615</v>
      </c>
      <c r="D168" s="120">
        <v>0.61499999999999999</v>
      </c>
      <c r="E168" s="113" t="s">
        <v>227</v>
      </c>
      <c r="F168" s="22"/>
      <c r="G168"/>
      <c r="H168" s="257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</row>
    <row r="169" spans="1:98" s="113" customFormat="1" hidden="1" outlineLevel="1" x14ac:dyDescent="0.35">
      <c r="A169" s="113" t="s">
        <v>315</v>
      </c>
      <c r="B169" s="119" t="s">
        <v>316</v>
      </c>
      <c r="C169" s="119" t="str">
        <f t="shared" si="1"/>
        <v>SV El Salvador CCC: 0,659</v>
      </c>
      <c r="D169" s="120">
        <v>0.65900000000000003</v>
      </c>
      <c r="E169" s="113" t="s">
        <v>227</v>
      </c>
      <c r="F169" s="22"/>
      <c r="G169" s="258"/>
      <c r="H169" s="259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</row>
    <row r="170" spans="1:98" s="113" customFormat="1" hidden="1" outlineLevel="1" x14ac:dyDescent="0.35">
      <c r="A170" s="113" t="s">
        <v>317</v>
      </c>
      <c r="B170" s="119" t="s">
        <v>318</v>
      </c>
      <c r="C170" s="119" t="str">
        <f t="shared" si="1"/>
        <v>ER Eritrea CCC: 1,099</v>
      </c>
      <c r="D170" s="120">
        <v>1.099</v>
      </c>
      <c r="E170" s="113" t="s">
        <v>227</v>
      </c>
      <c r="F170" s="22"/>
      <c r="G170" s="258"/>
      <c r="H170" s="259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</row>
    <row r="171" spans="1:98" s="113" customFormat="1" hidden="1" outlineLevel="1" x14ac:dyDescent="0.35">
      <c r="A171" s="113" t="s">
        <v>319</v>
      </c>
      <c r="B171" s="119" t="s">
        <v>320</v>
      </c>
      <c r="C171" s="119" t="str">
        <f t="shared" si="1"/>
        <v>EE Estonia CCC: 0,733</v>
      </c>
      <c r="D171" s="120">
        <v>0.73299999999999998</v>
      </c>
      <c r="E171" s="113" t="s">
        <v>238</v>
      </c>
      <c r="F171" s="22"/>
      <c r="G171" s="258"/>
      <c r="H171" s="259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</row>
    <row r="172" spans="1:98" s="113" customFormat="1" hidden="1" outlineLevel="1" x14ac:dyDescent="0.35">
      <c r="A172" s="113" t="s">
        <v>321</v>
      </c>
      <c r="B172" s="119" t="s">
        <v>322</v>
      </c>
      <c r="C172" s="119" t="str">
        <f t="shared" si="1"/>
        <v>SZ Eswatini CCC: 0,559</v>
      </c>
      <c r="D172" s="120">
        <v>0.55900000000000005</v>
      </c>
      <c r="E172" s="113" t="s">
        <v>227</v>
      </c>
      <c r="F172" s="22"/>
      <c r="G172"/>
      <c r="H172" s="257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</row>
    <row r="173" spans="1:98" s="113" customFormat="1" hidden="1" outlineLevel="1" x14ac:dyDescent="0.35">
      <c r="A173" s="113" t="s">
        <v>323</v>
      </c>
      <c r="B173" s="119" t="s">
        <v>324</v>
      </c>
      <c r="C173" s="119" t="str">
        <f t="shared" si="1"/>
        <v>ET Ethiopia CCC: 0,747</v>
      </c>
      <c r="D173" s="120">
        <v>0.747</v>
      </c>
      <c r="E173" s="113" t="s">
        <v>227</v>
      </c>
      <c r="F173" s="22"/>
      <c r="G173"/>
      <c r="H173" s="257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</row>
    <row r="174" spans="1:98" s="113" customFormat="1" hidden="1" outlineLevel="1" x14ac:dyDescent="0.35">
      <c r="A174" s="113" t="s">
        <v>325</v>
      </c>
      <c r="B174" s="119" t="s">
        <v>326</v>
      </c>
      <c r="C174" s="119" t="str">
        <f t="shared" si="1"/>
        <v>FO Faroe Islands (the) CCC: 1,204</v>
      </c>
      <c r="D174" s="120">
        <v>1.204</v>
      </c>
      <c r="E174" s="113" t="s">
        <v>224</v>
      </c>
      <c r="F174" s="22"/>
      <c r="G174"/>
      <c r="H174" s="257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</row>
    <row r="175" spans="1:98" s="113" customFormat="1" hidden="1" outlineLevel="1" x14ac:dyDescent="0.35">
      <c r="A175" s="113" t="s">
        <v>327</v>
      </c>
      <c r="B175" s="119" t="s">
        <v>328</v>
      </c>
      <c r="C175" s="119" t="str">
        <f t="shared" si="1"/>
        <v>FJ Fiji CCC: 0,671</v>
      </c>
      <c r="D175" s="120">
        <v>0.67100000000000004</v>
      </c>
      <c r="E175" s="113" t="s">
        <v>227</v>
      </c>
      <c r="F175" s="22"/>
      <c r="G175" s="258"/>
      <c r="H175" s="259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</row>
    <row r="176" spans="1:98" s="113" customFormat="1" hidden="1" outlineLevel="1" x14ac:dyDescent="0.35">
      <c r="A176" s="113" t="s">
        <v>329</v>
      </c>
      <c r="B176" s="119" t="s">
        <v>330</v>
      </c>
      <c r="C176" s="119" t="str">
        <f t="shared" si="1"/>
        <v>FI Finland CCC: 1,09</v>
      </c>
      <c r="D176" s="120">
        <v>1.0900000000000001</v>
      </c>
      <c r="E176" s="113" t="s">
        <v>238</v>
      </c>
      <c r="F176" s="22"/>
      <c r="G176"/>
      <c r="H176" s="257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</row>
    <row r="177" spans="1:98" s="113" customFormat="1" hidden="1" outlineLevel="1" x14ac:dyDescent="0.35">
      <c r="A177" s="113" t="s">
        <v>331</v>
      </c>
      <c r="B177" s="119" t="s">
        <v>332</v>
      </c>
      <c r="C177" s="119" t="str">
        <f t="shared" si="1"/>
        <v>FR France CCC: 1,062</v>
      </c>
      <c r="D177" s="120">
        <v>1.0620000000000001</v>
      </c>
      <c r="E177" s="113" t="s">
        <v>238</v>
      </c>
      <c r="F177" s="22"/>
      <c r="G177" s="258"/>
      <c r="H177" s="259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</row>
    <row r="178" spans="1:98" s="113" customFormat="1" hidden="1" outlineLevel="1" x14ac:dyDescent="0.35">
      <c r="A178" s="113" t="s">
        <v>333</v>
      </c>
      <c r="B178" s="119" t="s">
        <v>334</v>
      </c>
      <c r="C178" s="119" t="str">
        <f t="shared" si="1"/>
        <v>GA Gabon CCC: 0,984</v>
      </c>
      <c r="D178" s="120">
        <v>0.98399999999999999</v>
      </c>
      <c r="E178" s="113" t="s">
        <v>227</v>
      </c>
      <c r="F178" s="22"/>
      <c r="G178" s="258"/>
      <c r="H178" s="259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</row>
    <row r="179" spans="1:98" s="113" customFormat="1" hidden="1" outlineLevel="1" x14ac:dyDescent="0.35">
      <c r="A179" s="113" t="s">
        <v>335</v>
      </c>
      <c r="B179" s="119" t="s">
        <v>336</v>
      </c>
      <c r="C179" s="119" t="str">
        <f t="shared" si="1"/>
        <v>GM Gambia (the) CCC: 0,628</v>
      </c>
      <c r="D179" s="120">
        <v>0.628</v>
      </c>
      <c r="E179" s="113" t="s">
        <v>227</v>
      </c>
      <c r="F179" s="22"/>
      <c r="G179"/>
      <c r="H179" s="257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</row>
    <row r="180" spans="1:98" s="113" customFormat="1" hidden="1" outlineLevel="1" x14ac:dyDescent="0.35">
      <c r="A180" s="113" t="s">
        <v>337</v>
      </c>
      <c r="B180" s="119" t="s">
        <v>338</v>
      </c>
      <c r="C180" s="119" t="str">
        <f t="shared" si="1"/>
        <v>GE Georgia CCC: 0,568</v>
      </c>
      <c r="D180" s="120">
        <v>0.56799999999999995</v>
      </c>
      <c r="E180" s="113" t="s">
        <v>224</v>
      </c>
      <c r="F180" s="22"/>
      <c r="G180"/>
      <c r="H180" s="257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</row>
    <row r="181" spans="1:98" s="113" customFormat="1" hidden="1" outlineLevel="1" x14ac:dyDescent="0.35">
      <c r="A181" s="113" t="s">
        <v>339</v>
      </c>
      <c r="B181" s="119" t="s">
        <v>340</v>
      </c>
      <c r="C181" s="119" t="str">
        <f t="shared" si="1"/>
        <v>DE Germany CCC: 0,897</v>
      </c>
      <c r="D181" s="120">
        <v>0.89700000000000002</v>
      </c>
      <c r="E181" s="113" t="s">
        <v>238</v>
      </c>
      <c r="F181" s="22"/>
      <c r="G181" s="258"/>
      <c r="H181" s="259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</row>
    <row r="182" spans="1:98" s="113" customFormat="1" hidden="1" outlineLevel="1" x14ac:dyDescent="0.35">
      <c r="A182" s="113" t="s">
        <v>341</v>
      </c>
      <c r="B182" s="119" t="s">
        <v>342</v>
      </c>
      <c r="C182" s="119" t="str">
        <f t="shared" si="1"/>
        <v>GH Ghana CCC: 0,674</v>
      </c>
      <c r="D182" s="120">
        <v>0.67400000000000004</v>
      </c>
      <c r="E182" s="113" t="s">
        <v>227</v>
      </c>
      <c r="F182" s="22"/>
      <c r="G182" s="258"/>
      <c r="H182" s="259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</row>
    <row r="183" spans="1:98" s="113" customFormat="1" hidden="1" outlineLevel="1" x14ac:dyDescent="0.35">
      <c r="A183" s="113" t="s">
        <v>343</v>
      </c>
      <c r="B183" s="119" t="s">
        <v>344</v>
      </c>
      <c r="C183" s="119" t="str">
        <f t="shared" si="1"/>
        <v>GT Guatemala CCC: 0,797</v>
      </c>
      <c r="D183" s="120">
        <v>0.79700000000000004</v>
      </c>
      <c r="E183" s="113" t="s">
        <v>227</v>
      </c>
      <c r="F183" s="22"/>
      <c r="G183"/>
      <c r="H183" s="257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</row>
    <row r="184" spans="1:98" s="113" customFormat="1" hidden="1" outlineLevel="1" x14ac:dyDescent="0.35">
      <c r="A184" s="113" t="s">
        <v>345</v>
      </c>
      <c r="B184" s="119" t="s">
        <v>346</v>
      </c>
      <c r="C184" s="119" t="str">
        <f t="shared" si="1"/>
        <v>GN Guinea CCC: 0,768</v>
      </c>
      <c r="D184" s="120">
        <v>0.76800000000000002</v>
      </c>
      <c r="E184" s="113" t="s">
        <v>227</v>
      </c>
      <c r="F184" s="22"/>
      <c r="G184" s="258"/>
      <c r="H184" s="259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</row>
    <row r="185" spans="1:98" s="113" customFormat="1" hidden="1" outlineLevel="1" x14ac:dyDescent="0.35">
      <c r="A185" s="113" t="s">
        <v>347</v>
      </c>
      <c r="B185" s="119" t="s">
        <v>348</v>
      </c>
      <c r="C185" s="119" t="str">
        <f t="shared" si="1"/>
        <v>GW Guinea-Bissau CCC: 0,747</v>
      </c>
      <c r="D185" s="120">
        <v>0.747</v>
      </c>
      <c r="E185" s="113" t="s">
        <v>227</v>
      </c>
      <c r="F185" s="22"/>
      <c r="G185" s="258"/>
      <c r="H185" s="259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</row>
    <row r="186" spans="1:98" s="113" customFormat="1" hidden="1" outlineLevel="1" x14ac:dyDescent="0.35">
      <c r="A186" s="113" t="s">
        <v>349</v>
      </c>
      <c r="B186" s="119" t="s">
        <v>350</v>
      </c>
      <c r="C186" s="119" t="str">
        <f t="shared" si="1"/>
        <v>GY Guyana CCC: 0,654</v>
      </c>
      <c r="D186" s="120">
        <v>0.65400000000000003</v>
      </c>
      <c r="E186" s="113" t="s">
        <v>227</v>
      </c>
      <c r="F186" s="22"/>
      <c r="G186"/>
      <c r="H186" s="257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</row>
    <row r="187" spans="1:98" s="113" customFormat="1" hidden="1" outlineLevel="1" x14ac:dyDescent="0.35">
      <c r="A187" s="113" t="s">
        <v>351</v>
      </c>
      <c r="B187" s="119" t="s">
        <v>352</v>
      </c>
      <c r="C187" s="119" t="str">
        <f t="shared" si="1"/>
        <v>HT Haiti CCC: 0,776</v>
      </c>
      <c r="D187" s="120">
        <v>0.77600000000000002</v>
      </c>
      <c r="E187" s="113" t="s">
        <v>227</v>
      </c>
      <c r="F187" s="22"/>
      <c r="G187" s="258"/>
      <c r="H187" s="259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</row>
    <row r="188" spans="1:98" s="113" customFormat="1" hidden="1" outlineLevel="1" x14ac:dyDescent="0.35">
      <c r="A188" s="113" t="s">
        <v>353</v>
      </c>
      <c r="B188" s="119" t="s">
        <v>354</v>
      </c>
      <c r="C188" s="119" t="str">
        <f t="shared" ref="C188:C219" si="2">A188&amp;" "&amp;B188&amp;" "&amp;"CCC: "&amp;D188</f>
        <v>HN Honduras CCC: 0,706</v>
      </c>
      <c r="D188" s="120">
        <v>0.70599999999999996</v>
      </c>
      <c r="E188" s="113" t="s">
        <v>227</v>
      </c>
      <c r="F188" s="22"/>
      <c r="G188"/>
      <c r="H188" s="257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</row>
    <row r="189" spans="1:98" s="113" customFormat="1" hidden="1" outlineLevel="1" x14ac:dyDescent="0.35">
      <c r="A189" s="113" t="s">
        <v>355</v>
      </c>
      <c r="B189" s="119" t="s">
        <v>356</v>
      </c>
      <c r="C189" s="119" t="str">
        <f t="shared" si="2"/>
        <v>HK Hong Kong CCC: 1,053</v>
      </c>
      <c r="D189" s="120">
        <v>1.0529999999999999</v>
      </c>
      <c r="E189" s="113" t="s">
        <v>227</v>
      </c>
      <c r="F189" s="22"/>
      <c r="G189" s="258"/>
      <c r="H189" s="259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</row>
    <row r="190" spans="1:98" s="113" customFormat="1" hidden="1" outlineLevel="1" x14ac:dyDescent="0.35">
      <c r="A190" s="113" t="s">
        <v>357</v>
      </c>
      <c r="B190" s="119" t="s">
        <v>358</v>
      </c>
      <c r="C190" s="119" t="str">
        <f t="shared" si="2"/>
        <v>HU Hungary CCC: 0,657</v>
      </c>
      <c r="D190" s="120">
        <v>0.65700000000000003</v>
      </c>
      <c r="E190" s="113" t="s">
        <v>238</v>
      </c>
      <c r="F190" s="22"/>
      <c r="G190" s="258"/>
      <c r="H190" s="259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</row>
    <row r="191" spans="1:98" s="113" customFormat="1" hidden="1" outlineLevel="1" x14ac:dyDescent="0.35">
      <c r="A191" s="113" t="s">
        <v>359</v>
      </c>
      <c r="B191" s="119" t="s">
        <v>360</v>
      </c>
      <c r="C191" s="119" t="str">
        <f t="shared" si="2"/>
        <v>IS Iceland CCC: 1,191</v>
      </c>
      <c r="D191" s="120">
        <v>1.1910000000000001</v>
      </c>
      <c r="E191" s="113" t="s">
        <v>224</v>
      </c>
      <c r="F191" s="22"/>
      <c r="G191" s="258"/>
      <c r="H191" s="259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</row>
    <row r="192" spans="1:98" s="113" customFormat="1" hidden="1" outlineLevel="1" x14ac:dyDescent="0.35">
      <c r="A192" s="113" t="s">
        <v>361</v>
      </c>
      <c r="B192" s="119" t="s">
        <v>362</v>
      </c>
      <c r="C192" s="119" t="str">
        <f t="shared" si="2"/>
        <v>IN India CCC: 0,673</v>
      </c>
      <c r="D192" s="120">
        <v>0.67300000000000004</v>
      </c>
      <c r="E192" s="113" t="s">
        <v>227</v>
      </c>
      <c r="F192" s="22"/>
      <c r="G192"/>
      <c r="H192" s="257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</row>
    <row r="193" spans="1:98" s="113" customFormat="1" hidden="1" outlineLevel="1" x14ac:dyDescent="0.35">
      <c r="A193" s="113" t="s">
        <v>363</v>
      </c>
      <c r="B193" s="119" t="s">
        <v>364</v>
      </c>
      <c r="C193" s="119" t="str">
        <f t="shared" si="2"/>
        <v>ID Indonesia CCC: 0,666</v>
      </c>
      <c r="D193" s="120">
        <v>0.66600000000000004</v>
      </c>
      <c r="E193" s="113" t="s">
        <v>227</v>
      </c>
      <c r="F193" s="22"/>
      <c r="G193"/>
      <c r="H193" s="257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</row>
    <row r="194" spans="1:98" s="113" customFormat="1" hidden="1" outlineLevel="1" x14ac:dyDescent="0.35">
      <c r="A194" s="113" t="s">
        <v>365</v>
      </c>
      <c r="B194" s="119" t="s">
        <v>366</v>
      </c>
      <c r="C194" s="119" t="str">
        <f t="shared" si="2"/>
        <v>IE Ireland CCC: 1,09</v>
      </c>
      <c r="D194" s="120">
        <v>1.0900000000000001</v>
      </c>
      <c r="E194" s="113" t="s">
        <v>238</v>
      </c>
      <c r="F194" s="22"/>
      <c r="G194"/>
      <c r="H194" s="257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</row>
    <row r="195" spans="1:98" s="113" customFormat="1" hidden="1" outlineLevel="1" x14ac:dyDescent="0.35">
      <c r="A195" s="113" t="s">
        <v>367</v>
      </c>
      <c r="B195" s="119" t="s">
        <v>368</v>
      </c>
      <c r="C195" s="119" t="str">
        <f t="shared" si="2"/>
        <v>IL Israel CCC: 0,978</v>
      </c>
      <c r="D195" s="120">
        <v>0.97799999999999998</v>
      </c>
      <c r="E195" s="113" t="s">
        <v>224</v>
      </c>
      <c r="F195" s="22"/>
      <c r="G195" s="258"/>
      <c r="H195" s="259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</row>
    <row r="196" spans="1:98" s="113" customFormat="1" hidden="1" outlineLevel="1" x14ac:dyDescent="0.35">
      <c r="A196" s="113" t="s">
        <v>369</v>
      </c>
      <c r="B196" s="119" t="s">
        <v>370</v>
      </c>
      <c r="C196" s="119" t="str">
        <f t="shared" si="2"/>
        <v>IT Italy CCC: 0,889</v>
      </c>
      <c r="D196" s="120">
        <v>0.88900000000000001</v>
      </c>
      <c r="E196" s="113" t="s">
        <v>238</v>
      </c>
      <c r="F196" s="22"/>
      <c r="G196" s="258"/>
      <c r="H196" s="259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</row>
    <row r="197" spans="1:98" s="113" customFormat="1" hidden="1" outlineLevel="1" x14ac:dyDescent="0.35">
      <c r="A197" s="113" t="s">
        <v>371</v>
      </c>
      <c r="B197" s="119" t="s">
        <v>372</v>
      </c>
      <c r="C197" s="119" t="str">
        <f t="shared" si="2"/>
        <v>JM Jamaica CCC: 0,77</v>
      </c>
      <c r="D197" s="120">
        <v>0.77</v>
      </c>
      <c r="E197" s="113" t="s">
        <v>227</v>
      </c>
      <c r="F197" s="22"/>
      <c r="G197"/>
      <c r="H197" s="257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</row>
    <row r="198" spans="1:98" s="113" customFormat="1" hidden="1" outlineLevel="1" x14ac:dyDescent="0.35">
      <c r="A198" s="113" t="s">
        <v>373</v>
      </c>
      <c r="B198" s="119" t="s">
        <v>374</v>
      </c>
      <c r="C198" s="119" t="str">
        <f t="shared" si="2"/>
        <v>JP Japan CCC: 0,943</v>
      </c>
      <c r="D198" s="120">
        <v>0.94299999999999995</v>
      </c>
      <c r="E198" s="113" t="s">
        <v>227</v>
      </c>
      <c r="F198" s="22"/>
      <c r="G198"/>
      <c r="H198" s="257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</row>
    <row r="199" spans="1:98" s="113" customFormat="1" hidden="1" outlineLevel="1" x14ac:dyDescent="0.35">
      <c r="A199" s="113" t="s">
        <v>375</v>
      </c>
      <c r="B199" s="119" t="s">
        <v>376</v>
      </c>
      <c r="C199" s="119" t="str">
        <f t="shared" si="2"/>
        <v>JO Jordan CCC: 0,901</v>
      </c>
      <c r="D199" s="120">
        <v>0.90100000000000002</v>
      </c>
      <c r="E199" s="113" t="s">
        <v>227</v>
      </c>
      <c r="F199" s="22"/>
      <c r="G199" s="258"/>
      <c r="H199" s="259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</row>
    <row r="200" spans="1:98" s="113" customFormat="1" hidden="1" outlineLevel="1" x14ac:dyDescent="0.35">
      <c r="A200" s="113" t="s">
        <v>377</v>
      </c>
      <c r="B200" s="119" t="s">
        <v>378</v>
      </c>
      <c r="C200" s="119" t="str">
        <f t="shared" si="2"/>
        <v>KZ Kazakhstan CCC: 0,656</v>
      </c>
      <c r="D200" s="120">
        <v>0.65600000000000003</v>
      </c>
      <c r="E200" s="113" t="s">
        <v>227</v>
      </c>
      <c r="F200" s="22"/>
      <c r="G200"/>
      <c r="H200" s="257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</row>
    <row r="201" spans="1:98" s="113" customFormat="1" hidden="1" outlineLevel="1" x14ac:dyDescent="0.35">
      <c r="A201" s="113" t="s">
        <v>379</v>
      </c>
      <c r="B201" s="119" t="s">
        <v>380</v>
      </c>
      <c r="C201" s="119" t="str">
        <f t="shared" si="2"/>
        <v>KE Kenya CCC: 0,781</v>
      </c>
      <c r="D201" s="120">
        <v>0.78100000000000003</v>
      </c>
      <c r="E201" s="113" t="s">
        <v>227</v>
      </c>
      <c r="F201" s="22"/>
      <c r="G201" s="258"/>
      <c r="H201" s="259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</row>
    <row r="202" spans="1:98" s="113" customFormat="1" hidden="1" outlineLevel="1" x14ac:dyDescent="0.35">
      <c r="A202" s="113" t="s">
        <v>381</v>
      </c>
      <c r="B202" s="119" t="s">
        <v>382</v>
      </c>
      <c r="C202" s="119" t="str">
        <f t="shared" si="2"/>
        <v>KR Korea (the Republic of) CCC: 0,871</v>
      </c>
      <c r="D202" s="120">
        <v>0.871</v>
      </c>
      <c r="E202" s="113" t="s">
        <v>227</v>
      </c>
      <c r="F202" s="22"/>
      <c r="G202" s="258"/>
      <c r="H202" s="259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</row>
    <row r="203" spans="1:98" s="113" customFormat="1" hidden="1" outlineLevel="1" x14ac:dyDescent="0.35">
      <c r="A203" s="113" t="s">
        <v>383</v>
      </c>
      <c r="B203" s="119" t="s">
        <v>384</v>
      </c>
      <c r="C203" s="119" t="str">
        <f t="shared" si="2"/>
        <v>KG Kyrgyzstan CCC: 0,672</v>
      </c>
      <c r="D203" s="120">
        <v>0.67200000000000004</v>
      </c>
      <c r="E203" s="113" t="s">
        <v>227</v>
      </c>
      <c r="F203" s="22"/>
      <c r="G203"/>
      <c r="H203" s="257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</row>
    <row r="204" spans="1:98" s="113" customFormat="1" hidden="1" outlineLevel="1" x14ac:dyDescent="0.35">
      <c r="A204" s="113" t="s">
        <v>385</v>
      </c>
      <c r="B204" s="119" t="s">
        <v>386</v>
      </c>
      <c r="C204" s="119" t="str">
        <f t="shared" si="2"/>
        <v>LA Lao People's Democratic Republic (the) CCC: 0,819</v>
      </c>
      <c r="D204" s="120">
        <v>0.81899999999999995</v>
      </c>
      <c r="E204" s="113" t="s">
        <v>227</v>
      </c>
      <c r="F204" s="22"/>
      <c r="G204" s="258"/>
      <c r="H204" s="259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</row>
    <row r="205" spans="1:98" s="113" customFormat="1" hidden="1" outlineLevel="1" x14ac:dyDescent="0.35">
      <c r="A205" s="113" t="s">
        <v>387</v>
      </c>
      <c r="B205" s="119" t="s">
        <v>388</v>
      </c>
      <c r="C205" s="119" t="str">
        <f t="shared" si="2"/>
        <v>LV Latvia CCC: 0,693</v>
      </c>
      <c r="D205" s="120">
        <v>0.69299999999999995</v>
      </c>
      <c r="E205" s="113" t="s">
        <v>238</v>
      </c>
      <c r="F205" s="22"/>
      <c r="G205"/>
      <c r="H205" s="257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</row>
    <row r="206" spans="1:98" s="113" customFormat="1" hidden="1" outlineLevel="1" x14ac:dyDescent="0.35">
      <c r="A206" s="113" t="s">
        <v>389</v>
      </c>
      <c r="B206" s="119" t="s">
        <v>390</v>
      </c>
      <c r="C206" s="119" t="str">
        <f t="shared" si="2"/>
        <v>LB Lebanon CCC: 1,06</v>
      </c>
      <c r="D206" s="120">
        <v>1.06</v>
      </c>
      <c r="E206" s="113" t="s">
        <v>227</v>
      </c>
      <c r="F206" s="22"/>
      <c r="G206"/>
      <c r="H206" s="257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</row>
    <row r="207" spans="1:98" s="113" customFormat="1" hidden="1" outlineLevel="1" x14ac:dyDescent="0.35">
      <c r="A207" s="113" t="s">
        <v>391</v>
      </c>
      <c r="B207" s="119" t="s">
        <v>392</v>
      </c>
      <c r="C207" s="119" t="str">
        <f t="shared" si="2"/>
        <v>LS Lesotho CCC: 0,513</v>
      </c>
      <c r="D207" s="120">
        <v>0.51300000000000001</v>
      </c>
      <c r="E207" s="113" t="s">
        <v>227</v>
      </c>
      <c r="F207" s="22"/>
      <c r="G207"/>
      <c r="H207" s="257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</row>
    <row r="208" spans="1:98" s="113" customFormat="1" hidden="1" outlineLevel="1" x14ac:dyDescent="0.35">
      <c r="A208" s="113" t="s">
        <v>393</v>
      </c>
      <c r="B208" s="119" t="s">
        <v>394</v>
      </c>
      <c r="C208" s="119" t="str">
        <f t="shared" si="2"/>
        <v>LR Liberia CCC: 1,365</v>
      </c>
      <c r="D208" s="120">
        <v>1.365</v>
      </c>
      <c r="E208" s="113" t="s">
        <v>227</v>
      </c>
      <c r="F208" s="22"/>
      <c r="G208" s="258"/>
      <c r="H208" s="259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</row>
    <row r="209" spans="1:98" s="113" customFormat="1" hidden="1" outlineLevel="1" x14ac:dyDescent="0.35">
      <c r="A209" s="113" t="s">
        <v>395</v>
      </c>
      <c r="B209" s="119" t="s">
        <v>396</v>
      </c>
      <c r="C209" s="119" t="str">
        <f t="shared" si="2"/>
        <v xml:space="preserve">LY Libya CCC: </v>
      </c>
      <c r="D209" s="120"/>
      <c r="E209" s="113" t="s">
        <v>227</v>
      </c>
      <c r="F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</row>
    <row r="210" spans="1:98" s="113" customFormat="1" hidden="1" outlineLevel="1" x14ac:dyDescent="0.35">
      <c r="A210" s="113" t="s">
        <v>397</v>
      </c>
      <c r="B210" s="119" t="s">
        <v>398</v>
      </c>
      <c r="C210" s="119" t="str">
        <f t="shared" si="2"/>
        <v>LI Liechtenstein CCC: 1,173</v>
      </c>
      <c r="D210" s="120">
        <v>1.173</v>
      </c>
      <c r="E210" s="113" t="s">
        <v>227</v>
      </c>
      <c r="F210" s="22"/>
      <c r="G210" s="258"/>
      <c r="H210" s="259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</row>
    <row r="211" spans="1:98" s="113" customFormat="1" hidden="1" outlineLevel="1" x14ac:dyDescent="0.35">
      <c r="A211" s="113" t="s">
        <v>399</v>
      </c>
      <c r="B211" s="119" t="s">
        <v>400</v>
      </c>
      <c r="C211" s="119" t="str">
        <f t="shared" si="2"/>
        <v>LT Lithuania CCC: 0,664</v>
      </c>
      <c r="D211" s="120">
        <v>0.66400000000000003</v>
      </c>
      <c r="E211" s="113" t="s">
        <v>238</v>
      </c>
      <c r="F211" s="22"/>
      <c r="G211"/>
      <c r="H211" s="257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</row>
    <row r="212" spans="1:98" s="113" customFormat="1" hidden="1" outlineLevel="1" x14ac:dyDescent="0.35">
      <c r="A212" s="113" t="s">
        <v>401</v>
      </c>
      <c r="B212" s="119" t="s">
        <v>402</v>
      </c>
      <c r="C212" s="119" t="str">
        <f t="shared" si="2"/>
        <v>LU Luxembourg CCC: 0,912</v>
      </c>
      <c r="D212" s="120">
        <v>0.91200000000000003</v>
      </c>
      <c r="E212" s="113" t="s">
        <v>238</v>
      </c>
      <c r="F212" s="22"/>
      <c r="G212" s="258"/>
      <c r="H212" s="259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</row>
    <row r="213" spans="1:98" s="113" customFormat="1" hidden="1" outlineLevel="1" x14ac:dyDescent="0.35">
      <c r="A213" s="113" t="s">
        <v>403</v>
      </c>
      <c r="B213" s="119" t="s">
        <v>404</v>
      </c>
      <c r="C213" s="119" t="str">
        <f t="shared" si="2"/>
        <v>MG Madagascar CCC: 0,781</v>
      </c>
      <c r="D213" s="120">
        <v>0.78100000000000003</v>
      </c>
      <c r="E213" s="113" t="s">
        <v>227</v>
      </c>
      <c r="F213" s="22"/>
      <c r="G213"/>
      <c r="H213" s="257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</row>
    <row r="214" spans="1:98" s="113" customFormat="1" hidden="1" outlineLevel="1" x14ac:dyDescent="0.35">
      <c r="A214" s="113" t="s">
        <v>405</v>
      </c>
      <c r="B214" s="119" t="s">
        <v>406</v>
      </c>
      <c r="C214" s="119" t="str">
        <f t="shared" si="2"/>
        <v>MW Malawi CCC: 0,556</v>
      </c>
      <c r="D214" s="120">
        <v>0.55600000000000005</v>
      </c>
      <c r="E214" s="113" t="s">
        <v>227</v>
      </c>
      <c r="F214" s="22"/>
      <c r="G214"/>
      <c r="H214" s="257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</row>
    <row r="215" spans="1:98" s="113" customFormat="1" hidden="1" outlineLevel="1" x14ac:dyDescent="0.35">
      <c r="A215" s="113" t="s">
        <v>407</v>
      </c>
      <c r="B215" s="119" t="s">
        <v>408</v>
      </c>
      <c r="C215" s="119" t="str">
        <f t="shared" si="2"/>
        <v>MY Malaysia CCC: 0,613</v>
      </c>
      <c r="D215" s="120">
        <v>0.61299999999999999</v>
      </c>
      <c r="E215" s="113" t="s">
        <v>227</v>
      </c>
      <c r="F215" s="22"/>
      <c r="G215"/>
      <c r="H215" s="257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</row>
    <row r="216" spans="1:98" s="113" customFormat="1" hidden="1" outlineLevel="1" x14ac:dyDescent="0.35">
      <c r="A216" s="113" t="s">
        <v>409</v>
      </c>
      <c r="B216" s="119" t="s">
        <v>410</v>
      </c>
      <c r="C216" s="119" t="str">
        <f t="shared" si="2"/>
        <v>ML Mali CCC: 0,821</v>
      </c>
      <c r="D216" s="120">
        <v>0.82099999999999995</v>
      </c>
      <c r="E216" s="113" t="s">
        <v>227</v>
      </c>
      <c r="F216" s="22"/>
      <c r="G216"/>
      <c r="H216" s="257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</row>
    <row r="217" spans="1:98" s="113" customFormat="1" hidden="1" outlineLevel="1" x14ac:dyDescent="0.35">
      <c r="A217" s="113" t="s">
        <v>411</v>
      </c>
      <c r="B217" s="119" t="s">
        <v>412</v>
      </c>
      <c r="C217" s="119" t="str">
        <f t="shared" si="2"/>
        <v>MT Malta CCC: 0,804</v>
      </c>
      <c r="D217" s="120">
        <v>0.80400000000000005</v>
      </c>
      <c r="E217" s="113" t="s">
        <v>238</v>
      </c>
      <c r="F217" s="22"/>
      <c r="G217" s="258"/>
      <c r="H217" s="259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</row>
    <row r="218" spans="1:98" s="113" customFormat="1" hidden="1" outlineLevel="1" x14ac:dyDescent="0.35">
      <c r="A218" s="113" t="s">
        <v>413</v>
      </c>
      <c r="B218" s="119" t="s">
        <v>414</v>
      </c>
      <c r="C218" s="119" t="str">
        <f t="shared" si="2"/>
        <v>MR Mauritania CCC: 0,621</v>
      </c>
      <c r="D218" s="120">
        <v>0.621</v>
      </c>
      <c r="E218" s="113" t="s">
        <v>227</v>
      </c>
      <c r="F218" s="22"/>
      <c r="G218"/>
      <c r="H218" s="257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</row>
    <row r="219" spans="1:98" s="113" customFormat="1" hidden="1" outlineLevel="1" x14ac:dyDescent="0.35">
      <c r="A219" s="113" t="s">
        <v>415</v>
      </c>
      <c r="B219" s="119" t="s">
        <v>416</v>
      </c>
      <c r="C219" s="119" t="str">
        <f t="shared" si="2"/>
        <v>MU Mauritius CCC: 0,669</v>
      </c>
      <c r="D219" s="120">
        <v>0.66900000000000004</v>
      </c>
      <c r="E219" s="113" t="s">
        <v>227</v>
      </c>
      <c r="F219" s="22"/>
      <c r="G219" s="258"/>
      <c r="H219" s="259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</row>
    <row r="220" spans="1:98" s="113" customFormat="1" hidden="1" outlineLevel="1" x14ac:dyDescent="0.35">
      <c r="A220" s="113" t="s">
        <v>417</v>
      </c>
      <c r="B220" s="119" t="s">
        <v>418</v>
      </c>
      <c r="C220" s="119" t="str">
        <f t="shared" ref="C220:C251" si="3">A220&amp;" "&amp;B220&amp;" "&amp;"CCC: "&amp;D220</f>
        <v>MX Mexico CCC: 0,55</v>
      </c>
      <c r="D220" s="120">
        <v>0.55000000000000004</v>
      </c>
      <c r="E220" s="113" t="s">
        <v>227</v>
      </c>
      <c r="F220" s="22"/>
      <c r="G220" s="258"/>
      <c r="H220" s="259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</row>
    <row r="221" spans="1:98" s="113" customFormat="1" hidden="1" outlineLevel="1" x14ac:dyDescent="0.35">
      <c r="A221" s="113" t="s">
        <v>419</v>
      </c>
      <c r="B221" s="119" t="s">
        <v>420</v>
      </c>
      <c r="C221" s="119" t="str">
        <f t="shared" si="3"/>
        <v>MD Moldova (the Republic of) CCC: 0,577</v>
      </c>
      <c r="D221" s="120">
        <v>0.57699999999999996</v>
      </c>
      <c r="E221" s="113" t="s">
        <v>224</v>
      </c>
      <c r="F221" s="22"/>
      <c r="G221"/>
      <c r="H221" s="257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</row>
    <row r="222" spans="1:98" s="113" customFormat="1" hidden="1" outlineLevel="1" x14ac:dyDescent="0.35">
      <c r="A222" s="113" t="s">
        <v>421</v>
      </c>
      <c r="B222" s="119" t="s">
        <v>422</v>
      </c>
      <c r="C222" s="119" t="str">
        <f t="shared" si="3"/>
        <v>ME Montenegro CCC: 0,562</v>
      </c>
      <c r="D222" s="120">
        <v>0.56200000000000006</v>
      </c>
      <c r="E222" s="113" t="s">
        <v>224</v>
      </c>
      <c r="F222" s="22"/>
      <c r="G222" s="258"/>
      <c r="H222" s="259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</row>
    <row r="223" spans="1:98" s="113" customFormat="1" hidden="1" outlineLevel="1" x14ac:dyDescent="0.35">
      <c r="A223" s="113" t="s">
        <v>423</v>
      </c>
      <c r="B223" s="119" t="s">
        <v>424</v>
      </c>
      <c r="C223" s="119" t="str">
        <f t="shared" si="3"/>
        <v>MA Morocco CCC: 0,662</v>
      </c>
      <c r="D223" s="120">
        <v>0.66200000000000003</v>
      </c>
      <c r="E223" s="113" t="s">
        <v>227</v>
      </c>
      <c r="F223" s="22"/>
      <c r="G223" s="258"/>
      <c r="H223" s="259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</row>
    <row r="224" spans="1:98" s="113" customFormat="1" hidden="1" outlineLevel="1" x14ac:dyDescent="0.35">
      <c r="A224" s="113" t="s">
        <v>425</v>
      </c>
      <c r="B224" s="119" t="s">
        <v>426</v>
      </c>
      <c r="C224" s="119" t="str">
        <f t="shared" si="3"/>
        <v>MZ Mozambique CCC: 0,654</v>
      </c>
      <c r="D224" s="120">
        <v>0.65400000000000003</v>
      </c>
      <c r="E224" s="113" t="s">
        <v>227</v>
      </c>
      <c r="F224" s="22"/>
      <c r="G224" s="258"/>
      <c r="H224" s="259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</row>
    <row r="225" spans="1:98" s="113" customFormat="1" hidden="1" outlineLevel="1" x14ac:dyDescent="0.35">
      <c r="A225" s="113" t="s">
        <v>427</v>
      </c>
      <c r="B225" s="119" t="s">
        <v>428</v>
      </c>
      <c r="C225" s="119" t="str">
        <f t="shared" si="3"/>
        <v>MM Myanmar CCC: 0,611</v>
      </c>
      <c r="D225" s="120">
        <v>0.61099999999999999</v>
      </c>
      <c r="E225" s="113" t="s">
        <v>227</v>
      </c>
      <c r="F225" s="22"/>
      <c r="G225" s="258"/>
      <c r="H225" s="259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</row>
    <row r="226" spans="1:98" s="113" customFormat="1" hidden="1" outlineLevel="1" x14ac:dyDescent="0.35">
      <c r="A226" s="113" t="s">
        <v>429</v>
      </c>
      <c r="B226" s="119" t="s">
        <v>430</v>
      </c>
      <c r="C226" s="119" t="str">
        <f t="shared" si="3"/>
        <v>NA Namibia CCC: 0,61</v>
      </c>
      <c r="D226" s="120">
        <v>0.61</v>
      </c>
      <c r="E226" s="113" t="s">
        <v>227</v>
      </c>
      <c r="F226" s="22"/>
      <c r="G226"/>
      <c r="H226" s="257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</row>
    <row r="227" spans="1:98" s="113" customFormat="1" hidden="1" outlineLevel="1" x14ac:dyDescent="0.35">
      <c r="A227" s="113" t="s">
        <v>431</v>
      </c>
      <c r="B227" s="119" t="s">
        <v>432</v>
      </c>
      <c r="C227" s="119" t="str">
        <f t="shared" si="3"/>
        <v>NP Nepal CCC: 0,801</v>
      </c>
      <c r="D227" s="120">
        <v>0.80100000000000005</v>
      </c>
      <c r="E227" s="113" t="s">
        <v>227</v>
      </c>
      <c r="F227" s="22"/>
      <c r="G227"/>
      <c r="H227" s="257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</row>
    <row r="228" spans="1:98" s="113" customFormat="1" hidden="1" outlineLevel="1" x14ac:dyDescent="0.35">
      <c r="A228" s="113" t="s">
        <v>433</v>
      </c>
      <c r="B228" s="119" t="s">
        <v>434</v>
      </c>
      <c r="C228" s="119" t="str">
        <f t="shared" si="3"/>
        <v>NL Netherlands (the) CCC: 1</v>
      </c>
      <c r="D228" s="120">
        <v>1</v>
      </c>
      <c r="E228" s="113" t="s">
        <v>238</v>
      </c>
      <c r="F228" s="22"/>
      <c r="G228"/>
      <c r="H228" s="257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</row>
    <row r="229" spans="1:98" s="113" customFormat="1" hidden="1" outlineLevel="1" x14ac:dyDescent="0.35">
      <c r="A229" s="113" t="s">
        <v>435</v>
      </c>
      <c r="B229" s="119" t="s">
        <v>436</v>
      </c>
      <c r="C229" s="119" t="str">
        <f t="shared" si="3"/>
        <v>NC New Caledonia CCC: 0,98</v>
      </c>
      <c r="D229" s="120">
        <v>0.98</v>
      </c>
      <c r="E229" s="113" t="s">
        <v>227</v>
      </c>
      <c r="F229" s="22"/>
      <c r="G229" s="258"/>
      <c r="H229" s="259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</row>
    <row r="230" spans="1:98" s="113" customFormat="1" hidden="1" outlineLevel="1" x14ac:dyDescent="0.35">
      <c r="A230" s="113" t="s">
        <v>437</v>
      </c>
      <c r="B230" s="119" t="s">
        <v>438</v>
      </c>
      <c r="C230" s="119" t="str">
        <f t="shared" si="3"/>
        <v>NZ New Zealand CCC: 0,902</v>
      </c>
      <c r="D230" s="120">
        <v>0.90200000000000002</v>
      </c>
      <c r="E230" s="113" t="s">
        <v>227</v>
      </c>
      <c r="F230" s="22"/>
      <c r="G230" s="258"/>
      <c r="H230" s="259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</row>
    <row r="231" spans="1:98" s="113" customFormat="1" hidden="1" outlineLevel="1" x14ac:dyDescent="0.35">
      <c r="A231" s="113" t="s">
        <v>439</v>
      </c>
      <c r="B231" s="119" t="s">
        <v>440</v>
      </c>
      <c r="C231" s="119" t="str">
        <f t="shared" si="3"/>
        <v>NI Nicaragua CCC: 0,614</v>
      </c>
      <c r="D231" s="120">
        <v>0.61399999999999999</v>
      </c>
      <c r="E231" s="113" t="s">
        <v>227</v>
      </c>
      <c r="F231" s="22"/>
      <c r="G231"/>
      <c r="H231" s="257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</row>
    <row r="232" spans="1:98" s="113" customFormat="1" hidden="1" outlineLevel="1" x14ac:dyDescent="0.35">
      <c r="A232" s="113" t="s">
        <v>441</v>
      </c>
      <c r="B232" s="119" t="s">
        <v>442</v>
      </c>
      <c r="C232" s="119" t="str">
        <f t="shared" si="3"/>
        <v>NE Niger (the) CCC: 0,73</v>
      </c>
      <c r="D232" s="120">
        <v>0.73</v>
      </c>
      <c r="E232" s="113" t="s">
        <v>227</v>
      </c>
      <c r="F232" s="22"/>
      <c r="G232"/>
      <c r="H232" s="257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</row>
    <row r="233" spans="1:98" s="113" customFormat="1" hidden="1" outlineLevel="1" x14ac:dyDescent="0.35">
      <c r="A233" s="113" t="s">
        <v>443</v>
      </c>
      <c r="B233" s="119" t="s">
        <v>444</v>
      </c>
      <c r="C233" s="119" t="str">
        <f t="shared" si="3"/>
        <v>NG Nigeria CCC: 0,777</v>
      </c>
      <c r="D233" s="120">
        <v>0.77700000000000002</v>
      </c>
      <c r="E233" s="113" t="s">
        <v>227</v>
      </c>
      <c r="F233" s="22"/>
      <c r="G233" s="258"/>
      <c r="H233" s="259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</row>
    <row r="234" spans="1:98" s="113" customFormat="1" hidden="1" outlineLevel="1" x14ac:dyDescent="0.35">
      <c r="A234" s="113" t="s">
        <v>445</v>
      </c>
      <c r="B234" s="119" t="s">
        <v>446</v>
      </c>
      <c r="C234" s="119" t="str">
        <f t="shared" si="3"/>
        <v>MK North Macedonia CCC: 0,463</v>
      </c>
      <c r="D234" s="120">
        <v>0.46300000000000002</v>
      </c>
      <c r="E234" s="113" t="s">
        <v>224</v>
      </c>
      <c r="F234" s="22"/>
      <c r="G234" s="258"/>
      <c r="H234" s="259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</row>
    <row r="235" spans="1:98" s="113" customFormat="1" hidden="1" outlineLevel="1" x14ac:dyDescent="0.35">
      <c r="A235" s="113" t="s">
        <v>447</v>
      </c>
      <c r="B235" s="119" t="s">
        <v>448</v>
      </c>
      <c r="C235" s="119" t="str">
        <f t="shared" si="3"/>
        <v>NO Norway CCC: 1,174</v>
      </c>
      <c r="D235" s="120">
        <v>1.1739999999999999</v>
      </c>
      <c r="E235" s="113" t="s">
        <v>224</v>
      </c>
      <c r="F235" s="22"/>
      <c r="G235" s="258"/>
      <c r="H235" s="259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</row>
    <row r="236" spans="1:98" s="113" customFormat="1" hidden="1" outlineLevel="1" x14ac:dyDescent="0.35">
      <c r="A236" s="113" t="s">
        <v>449</v>
      </c>
      <c r="B236" s="119" t="s">
        <v>450</v>
      </c>
      <c r="C236" s="119" t="str">
        <f t="shared" si="3"/>
        <v>PK Pakistan CCC: 0,5</v>
      </c>
      <c r="D236" s="120">
        <v>0.5</v>
      </c>
      <c r="E236" s="113" t="s">
        <v>227</v>
      </c>
      <c r="F236" s="22"/>
      <c r="G236"/>
      <c r="H236" s="257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</row>
    <row r="237" spans="1:98" s="113" customFormat="1" hidden="1" outlineLevel="1" x14ac:dyDescent="0.35">
      <c r="A237" s="113" t="s">
        <v>451</v>
      </c>
      <c r="B237" s="119" t="s">
        <v>450</v>
      </c>
      <c r="C237" s="119" t="str">
        <f t="shared" si="3"/>
        <v>PS Pakistan CCC: 1,026</v>
      </c>
      <c r="D237" s="120">
        <v>1.026</v>
      </c>
      <c r="E237" s="113" t="s">
        <v>227</v>
      </c>
      <c r="F237" s="22"/>
      <c r="G237" s="258"/>
      <c r="H237" s="259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</row>
    <row r="238" spans="1:98" s="113" customFormat="1" hidden="1" outlineLevel="1" x14ac:dyDescent="0.35">
      <c r="A238" s="113" t="s">
        <v>452</v>
      </c>
      <c r="B238" s="119" t="s">
        <v>453</v>
      </c>
      <c r="C238" s="119" t="str">
        <f t="shared" si="3"/>
        <v>PA Panama CCC: 0,701</v>
      </c>
      <c r="D238" s="120">
        <v>0.70099999999999996</v>
      </c>
      <c r="E238" s="113" t="s">
        <v>227</v>
      </c>
      <c r="F238" s="22"/>
      <c r="G238"/>
      <c r="H238" s="257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</row>
    <row r="239" spans="1:98" s="113" customFormat="1" hidden="1" outlineLevel="1" x14ac:dyDescent="0.35">
      <c r="A239" s="113" t="s">
        <v>454</v>
      </c>
      <c r="B239" s="119" t="s">
        <v>455</v>
      </c>
      <c r="C239" s="119" t="str">
        <f t="shared" si="3"/>
        <v>PG Papua New Guinea CCC: 0,911</v>
      </c>
      <c r="D239" s="120">
        <v>0.91100000000000003</v>
      </c>
      <c r="E239" s="113" t="s">
        <v>227</v>
      </c>
      <c r="F239" s="22"/>
      <c r="G239"/>
      <c r="H239" s="257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</row>
    <row r="240" spans="1:98" s="113" customFormat="1" hidden="1" outlineLevel="1" x14ac:dyDescent="0.35">
      <c r="A240" s="113" t="s">
        <v>456</v>
      </c>
      <c r="B240" s="119" t="s">
        <v>457</v>
      </c>
      <c r="C240" s="119" t="str">
        <f t="shared" si="3"/>
        <v>PY Paraguay CCC: 0,575</v>
      </c>
      <c r="D240" s="120">
        <v>0.57499999999999996</v>
      </c>
      <c r="E240" s="113" t="s">
        <v>227</v>
      </c>
      <c r="F240" s="22"/>
      <c r="G240"/>
      <c r="H240" s="257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</row>
    <row r="241" spans="1:98" s="113" customFormat="1" hidden="1" outlineLevel="1" x14ac:dyDescent="0.35">
      <c r="A241" s="113" t="s">
        <v>458</v>
      </c>
      <c r="B241" s="119" t="s">
        <v>459</v>
      </c>
      <c r="C241" s="119" t="str">
        <f t="shared" si="3"/>
        <v>PE Peru CCC: 0,803</v>
      </c>
      <c r="D241" s="120">
        <v>0.80300000000000005</v>
      </c>
      <c r="E241" s="113" t="s">
        <v>227</v>
      </c>
      <c r="F241" s="22"/>
      <c r="G241" s="258"/>
      <c r="H241" s="259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</row>
    <row r="242" spans="1:98" s="113" customFormat="1" hidden="1" outlineLevel="1" x14ac:dyDescent="0.35">
      <c r="A242" s="113" t="s">
        <v>460</v>
      </c>
      <c r="B242" s="119" t="s">
        <v>461</v>
      </c>
      <c r="C242" s="119" t="str">
        <f t="shared" si="3"/>
        <v>PH Philippines (the) CCC: 0,742</v>
      </c>
      <c r="D242" s="120">
        <v>0.74199999999999999</v>
      </c>
      <c r="E242" s="113" t="s">
        <v>227</v>
      </c>
      <c r="F242" s="22"/>
      <c r="G242" s="258"/>
      <c r="H242" s="259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</row>
    <row r="243" spans="1:98" s="113" customFormat="1" hidden="1" outlineLevel="1" x14ac:dyDescent="0.35">
      <c r="A243" s="113" t="s">
        <v>462</v>
      </c>
      <c r="B243" s="119" t="s">
        <v>463</v>
      </c>
      <c r="C243" s="119" t="str">
        <f t="shared" si="3"/>
        <v>PL Poland CCC: 0,643</v>
      </c>
      <c r="D243" s="120">
        <v>0.64300000000000002</v>
      </c>
      <c r="E243" s="113" t="s">
        <v>238</v>
      </c>
      <c r="F243" s="22"/>
      <c r="G243" s="258"/>
      <c r="H243" s="259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</row>
    <row r="244" spans="1:98" s="113" customFormat="1" hidden="1" outlineLevel="1" x14ac:dyDescent="0.35">
      <c r="A244" s="113" t="s">
        <v>464</v>
      </c>
      <c r="B244" s="119" t="s">
        <v>465</v>
      </c>
      <c r="C244" s="119" t="str">
        <f t="shared" si="3"/>
        <v>PT Portugal CCC: 0,769</v>
      </c>
      <c r="D244" s="120">
        <v>0.76900000000000002</v>
      </c>
      <c r="E244" s="113" t="s">
        <v>238</v>
      </c>
      <c r="F244" s="22"/>
      <c r="G244"/>
      <c r="H244" s="257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</row>
    <row r="245" spans="1:98" s="113" customFormat="1" hidden="1" outlineLevel="1" x14ac:dyDescent="0.35">
      <c r="A245" s="113" t="s">
        <v>466</v>
      </c>
      <c r="B245" s="119" t="s">
        <v>467</v>
      </c>
      <c r="C245" s="119" t="str">
        <f t="shared" si="3"/>
        <v>RO Romania CCC: 0,597</v>
      </c>
      <c r="D245" s="120">
        <v>0.59699999999999998</v>
      </c>
      <c r="E245" s="113" t="s">
        <v>238</v>
      </c>
      <c r="F245" s="22"/>
      <c r="G245" s="258"/>
      <c r="H245" s="259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</row>
    <row r="246" spans="1:98" s="113" customFormat="1" hidden="1" outlineLevel="1" x14ac:dyDescent="0.35">
      <c r="A246" s="113" t="s">
        <v>468</v>
      </c>
      <c r="B246" s="119" t="s">
        <v>469</v>
      </c>
      <c r="C246" s="119" t="str">
        <f t="shared" si="3"/>
        <v>RU Russian Federation (the) CCC: 0,888</v>
      </c>
      <c r="D246" s="120">
        <v>0.88800000000000001</v>
      </c>
      <c r="E246" s="113" t="s">
        <v>227</v>
      </c>
      <c r="F246" s="22"/>
      <c r="G246"/>
      <c r="H246" s="257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</row>
    <row r="247" spans="1:98" s="113" customFormat="1" hidden="1" outlineLevel="1" x14ac:dyDescent="0.35">
      <c r="A247" s="113" t="s">
        <v>470</v>
      </c>
      <c r="B247" s="119" t="s">
        <v>471</v>
      </c>
      <c r="C247" s="119" t="str">
        <f t="shared" si="3"/>
        <v>RW Rwanda CCC: 0,745</v>
      </c>
      <c r="D247" s="120">
        <v>0.745</v>
      </c>
      <c r="E247" s="113" t="s">
        <v>227</v>
      </c>
      <c r="F247" s="22"/>
      <c r="G247" s="258"/>
      <c r="H247" s="259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</row>
    <row r="248" spans="1:98" s="113" customFormat="1" hidden="1" outlineLevel="1" x14ac:dyDescent="0.35">
      <c r="A248" s="113" t="s">
        <v>472</v>
      </c>
      <c r="B248" s="119" t="s">
        <v>473</v>
      </c>
      <c r="C248" s="119" t="str">
        <f t="shared" si="3"/>
        <v>WS Samoa CCC: 0,75</v>
      </c>
      <c r="D248" s="120">
        <v>0.75</v>
      </c>
      <c r="E248" s="113" t="s">
        <v>227</v>
      </c>
      <c r="F248" s="22"/>
      <c r="G248" s="258"/>
      <c r="H248" s="259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</row>
    <row r="249" spans="1:98" s="113" customFormat="1" hidden="1" outlineLevel="1" x14ac:dyDescent="0.35">
      <c r="A249" s="113" t="s">
        <v>474</v>
      </c>
      <c r="B249" s="119" t="s">
        <v>475</v>
      </c>
      <c r="C249" s="119" t="str">
        <f t="shared" si="3"/>
        <v>SA Saudi Arabia CCC: 0,761</v>
      </c>
      <c r="D249" s="120">
        <v>0.76100000000000001</v>
      </c>
      <c r="E249" s="113" t="s">
        <v>227</v>
      </c>
      <c r="F249" s="22"/>
      <c r="G249"/>
      <c r="H249" s="257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</row>
    <row r="250" spans="1:98" s="113" customFormat="1" hidden="1" outlineLevel="1" x14ac:dyDescent="0.35">
      <c r="A250" s="113" t="s">
        <v>476</v>
      </c>
      <c r="B250" s="119" t="s">
        <v>477</v>
      </c>
      <c r="C250" s="119" t="str">
        <f t="shared" si="3"/>
        <v>SN Senegal CCC: 0,898</v>
      </c>
      <c r="D250" s="120">
        <v>0.89800000000000002</v>
      </c>
      <c r="E250" s="113" t="s">
        <v>227</v>
      </c>
      <c r="F250" s="22"/>
      <c r="G250" s="258"/>
      <c r="H250" s="259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</row>
    <row r="251" spans="1:98" s="113" customFormat="1" hidden="1" outlineLevel="1" x14ac:dyDescent="0.35">
      <c r="A251" s="113" t="s">
        <v>478</v>
      </c>
      <c r="B251" s="119" t="s">
        <v>479</v>
      </c>
      <c r="C251" s="119" t="str">
        <f t="shared" si="3"/>
        <v>RS Serbia CCC: 0,526</v>
      </c>
      <c r="D251" s="120">
        <v>0.52600000000000002</v>
      </c>
      <c r="E251" s="113" t="s">
        <v>224</v>
      </c>
      <c r="F251" s="22"/>
      <c r="G251" s="258"/>
      <c r="H251" s="259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</row>
    <row r="252" spans="1:98" s="113" customFormat="1" hidden="1" outlineLevel="1" x14ac:dyDescent="0.35">
      <c r="A252" s="113" t="s">
        <v>480</v>
      </c>
      <c r="B252" s="119" t="s">
        <v>481</v>
      </c>
      <c r="C252" s="119" t="str">
        <f t="shared" ref="C252:C283" si="4">A252&amp;" "&amp;B252&amp;" "&amp;"CCC: "&amp;D252</f>
        <v>SL Sierra Leone CCC: 0,977</v>
      </c>
      <c r="D252" s="120">
        <v>0.97699999999999998</v>
      </c>
      <c r="E252" s="113" t="s">
        <v>227</v>
      </c>
      <c r="F252" s="22"/>
      <c r="G252"/>
      <c r="H252" s="257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</row>
    <row r="253" spans="1:98" s="113" customFormat="1" hidden="1" outlineLevel="1" x14ac:dyDescent="0.35">
      <c r="A253" s="113" t="s">
        <v>482</v>
      </c>
      <c r="B253" s="119" t="s">
        <v>483</v>
      </c>
      <c r="C253" s="119" t="str">
        <f t="shared" si="4"/>
        <v>SG Singapore CCC: 1,135</v>
      </c>
      <c r="D253" s="120">
        <v>1.135</v>
      </c>
      <c r="E253" s="113" t="s">
        <v>227</v>
      </c>
      <c r="F253" s="22"/>
      <c r="G253" s="258"/>
      <c r="H253" s="259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</row>
    <row r="254" spans="1:98" s="113" customFormat="1" hidden="1" outlineLevel="1" x14ac:dyDescent="0.35">
      <c r="A254" s="113" t="s">
        <v>484</v>
      </c>
      <c r="B254" s="119" t="s">
        <v>485</v>
      </c>
      <c r="C254" s="119" t="str">
        <f t="shared" si="4"/>
        <v>SK Slovakia CCC: 0,713</v>
      </c>
      <c r="D254" s="120">
        <v>0.71299999999999997</v>
      </c>
      <c r="E254" s="113" t="s">
        <v>238</v>
      </c>
      <c r="F254" s="22"/>
      <c r="G254"/>
      <c r="H254" s="257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</row>
    <row r="255" spans="1:98" s="113" customFormat="1" hidden="1" outlineLevel="1" x14ac:dyDescent="0.35">
      <c r="A255" s="113" t="s">
        <v>486</v>
      </c>
      <c r="B255" s="119" t="s">
        <v>487</v>
      </c>
      <c r="C255" s="119" t="str">
        <f t="shared" si="4"/>
        <v>SI Slovenia CCC: 0,76</v>
      </c>
      <c r="D255" s="120">
        <v>0.76</v>
      </c>
      <c r="E255" s="113" t="s">
        <v>238</v>
      </c>
      <c r="F255" s="22"/>
      <c r="G255" s="258"/>
      <c r="H255" s="259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</row>
    <row r="256" spans="1:98" s="113" customFormat="1" hidden="1" outlineLevel="1" x14ac:dyDescent="0.35">
      <c r="A256" s="113" t="s">
        <v>488</v>
      </c>
      <c r="B256" s="119" t="s">
        <v>489</v>
      </c>
      <c r="C256" s="119" t="str">
        <f t="shared" si="4"/>
        <v>SB Solomon Islands CCC: 1,028</v>
      </c>
      <c r="D256" s="120">
        <v>1.028</v>
      </c>
      <c r="E256" s="113" t="s">
        <v>227</v>
      </c>
      <c r="F256" s="22"/>
      <c r="G256" s="258"/>
      <c r="H256" s="259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</row>
    <row r="257" spans="1:98" s="113" customFormat="1" hidden="1" outlineLevel="1" x14ac:dyDescent="0.35">
      <c r="A257" s="113" t="s">
        <v>490</v>
      </c>
      <c r="B257" s="119" t="s">
        <v>491</v>
      </c>
      <c r="C257" s="119" t="str">
        <f t="shared" si="4"/>
        <v>ZA South Africa CCC: 0,505</v>
      </c>
      <c r="D257" s="120">
        <v>0.505</v>
      </c>
      <c r="E257" s="113" t="s">
        <v>227</v>
      </c>
      <c r="F257" s="22"/>
      <c r="G257"/>
      <c r="H257" s="257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</row>
    <row r="258" spans="1:98" s="113" customFormat="1" hidden="1" outlineLevel="1" x14ac:dyDescent="0.35">
      <c r="A258" s="113" t="s">
        <v>492</v>
      </c>
      <c r="B258" s="119" t="s">
        <v>493</v>
      </c>
      <c r="C258" s="119" t="str">
        <f t="shared" si="4"/>
        <v>ES Spain CCC: 0,833</v>
      </c>
      <c r="D258" s="120">
        <v>0.83299999999999996</v>
      </c>
      <c r="E258" s="113" t="s">
        <v>238</v>
      </c>
      <c r="F258" s="22"/>
      <c r="G258" s="258"/>
      <c r="H258" s="259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</row>
    <row r="259" spans="1:98" s="113" customFormat="1" hidden="1" outlineLevel="1" x14ac:dyDescent="0.35">
      <c r="A259" s="113" t="s">
        <v>494</v>
      </c>
      <c r="B259" s="119" t="s">
        <v>495</v>
      </c>
      <c r="C259" s="119" t="str">
        <f t="shared" si="4"/>
        <v>LK Sri Lanka CCC: 0,706</v>
      </c>
      <c r="D259" s="120">
        <v>0.70599999999999996</v>
      </c>
      <c r="E259" s="113" t="s">
        <v>227</v>
      </c>
      <c r="F259" s="22"/>
      <c r="G259"/>
      <c r="H259" s="257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</row>
    <row r="260" spans="1:98" s="113" customFormat="1" hidden="1" outlineLevel="1" x14ac:dyDescent="0.35">
      <c r="A260" s="113" t="s">
        <v>496</v>
      </c>
      <c r="B260" s="119" t="s">
        <v>497</v>
      </c>
      <c r="C260" s="119" t="str">
        <f t="shared" si="4"/>
        <v>SD Sudan (the) CCC: 0,984</v>
      </c>
      <c r="D260" s="120">
        <v>0.98399999999999999</v>
      </c>
      <c r="E260" s="113" t="s">
        <v>227</v>
      </c>
      <c r="F260" s="22"/>
      <c r="G260"/>
      <c r="H260" s="257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</row>
    <row r="261" spans="1:98" s="113" customFormat="1" hidden="1" outlineLevel="1" x14ac:dyDescent="0.35">
      <c r="A261" s="113" t="s">
        <v>498</v>
      </c>
      <c r="B261" s="119" t="s">
        <v>499</v>
      </c>
      <c r="C261" s="119" t="str">
        <f t="shared" si="4"/>
        <v>SR Suriname CCC: 0,63</v>
      </c>
      <c r="D261" s="120">
        <v>0.63</v>
      </c>
      <c r="E261" s="113" t="s">
        <v>227</v>
      </c>
      <c r="F261" s="22"/>
      <c r="G261"/>
      <c r="H261" s="257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</row>
    <row r="262" spans="1:98" s="113" customFormat="1" hidden="1" outlineLevel="1" x14ac:dyDescent="0.35">
      <c r="A262" s="113" t="s">
        <v>500</v>
      </c>
      <c r="B262" s="119" t="s">
        <v>501</v>
      </c>
      <c r="C262" s="119" t="str">
        <f t="shared" si="4"/>
        <v>SE Sweden CCC: 1,144</v>
      </c>
      <c r="D262" s="120">
        <v>1.1439999999999999</v>
      </c>
      <c r="E262" s="113" t="s">
        <v>238</v>
      </c>
      <c r="F262" s="22"/>
      <c r="G262"/>
      <c r="H262" s="257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</row>
    <row r="263" spans="1:98" s="113" customFormat="1" hidden="1" outlineLevel="1" x14ac:dyDescent="0.35">
      <c r="A263" s="113" t="s">
        <v>502</v>
      </c>
      <c r="B263" s="119" t="s">
        <v>503</v>
      </c>
      <c r="C263" s="119" t="str">
        <f t="shared" si="4"/>
        <v>CH Switzerland CCC: 1,173</v>
      </c>
      <c r="D263" s="120">
        <v>1.173</v>
      </c>
      <c r="E263" s="113" t="s">
        <v>224</v>
      </c>
      <c r="F263" s="22"/>
      <c r="G263" s="258"/>
      <c r="H263" s="259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</row>
    <row r="264" spans="1:98" s="113" customFormat="1" hidden="1" outlineLevel="1" x14ac:dyDescent="0.35">
      <c r="A264" s="113" t="s">
        <v>504</v>
      </c>
      <c r="B264" s="119" t="s">
        <v>505</v>
      </c>
      <c r="C264" s="119" t="str">
        <f t="shared" si="4"/>
        <v xml:space="preserve">SY Syrian Arab Republic (the) CCC: </v>
      </c>
      <c r="D264" s="120"/>
      <c r="E264" s="113" t="s">
        <v>227</v>
      </c>
      <c r="F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</row>
    <row r="265" spans="1:98" s="113" customFormat="1" hidden="1" outlineLevel="1" x14ac:dyDescent="0.35">
      <c r="A265" s="113" t="s">
        <v>506</v>
      </c>
      <c r="B265" s="119" t="s">
        <v>507</v>
      </c>
      <c r="C265" s="119" t="str">
        <f t="shared" si="4"/>
        <v>TW Taiwan (Province of China) CCC: 0,773</v>
      </c>
      <c r="D265" s="120">
        <v>0.77300000000000002</v>
      </c>
      <c r="E265" s="113" t="s">
        <v>227</v>
      </c>
      <c r="F265" s="22"/>
      <c r="G265"/>
      <c r="H265" s="257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</row>
    <row r="266" spans="1:98" s="113" customFormat="1" hidden="1" outlineLevel="1" x14ac:dyDescent="0.35">
      <c r="A266" s="113" t="s">
        <v>508</v>
      </c>
      <c r="B266" s="119" t="s">
        <v>509</v>
      </c>
      <c r="C266" s="119" t="str">
        <f t="shared" si="4"/>
        <v>TJ Tajikistan CCC: 0,533</v>
      </c>
      <c r="D266" s="120">
        <v>0.53300000000000003</v>
      </c>
      <c r="E266" s="113" t="s">
        <v>227</v>
      </c>
      <c r="F266" s="22"/>
      <c r="G266"/>
      <c r="H266" s="257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</row>
    <row r="267" spans="1:98" s="113" customFormat="1" hidden="1" outlineLevel="1" x14ac:dyDescent="0.35">
      <c r="A267" s="113" t="s">
        <v>510</v>
      </c>
      <c r="B267" s="119" t="s">
        <v>511</v>
      </c>
      <c r="C267" s="119" t="str">
        <f t="shared" si="4"/>
        <v>TZ Tanzania, the United Republic of CCC: 0,62</v>
      </c>
      <c r="D267" s="120">
        <v>0.62</v>
      </c>
      <c r="E267" s="113" t="s">
        <v>227</v>
      </c>
      <c r="F267" s="22"/>
      <c r="G267" s="258"/>
      <c r="H267" s="259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</row>
    <row r="268" spans="1:98" s="113" customFormat="1" hidden="1" outlineLevel="1" x14ac:dyDescent="0.35">
      <c r="A268" s="113" t="s">
        <v>512</v>
      </c>
      <c r="B268" s="119" t="s">
        <v>513</v>
      </c>
      <c r="C268" s="119" t="str">
        <f t="shared" si="4"/>
        <v>TH Thailand CCC: 0,719</v>
      </c>
      <c r="D268" s="120">
        <v>0.71899999999999997</v>
      </c>
      <c r="E268" s="113" t="s">
        <v>227</v>
      </c>
      <c r="F268" s="22"/>
      <c r="G268" s="258"/>
      <c r="H268" s="259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</row>
    <row r="269" spans="1:98" s="113" customFormat="1" hidden="1" outlineLevel="1" x14ac:dyDescent="0.35">
      <c r="A269" s="113" t="s">
        <v>514</v>
      </c>
      <c r="B269" s="119" t="s">
        <v>515</v>
      </c>
      <c r="C269" s="119" t="str">
        <f t="shared" si="4"/>
        <v>TL Timor-Leste CCC: 0,809</v>
      </c>
      <c r="D269" s="120">
        <v>0.80900000000000005</v>
      </c>
      <c r="E269" s="113" t="s">
        <v>227</v>
      </c>
      <c r="F269" s="22"/>
      <c r="G269" s="258"/>
      <c r="H269" s="259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</row>
    <row r="270" spans="1:98" s="113" customFormat="1" hidden="1" outlineLevel="1" x14ac:dyDescent="0.35">
      <c r="A270" s="113" t="s">
        <v>516</v>
      </c>
      <c r="B270" s="119" t="s">
        <v>517</v>
      </c>
      <c r="C270" s="119" t="str">
        <f t="shared" si="4"/>
        <v>TG Togo CCC: 0,755</v>
      </c>
      <c r="D270" s="120">
        <v>0.755</v>
      </c>
      <c r="E270" s="113" t="s">
        <v>227</v>
      </c>
      <c r="F270" s="22"/>
      <c r="G270"/>
      <c r="H270" s="257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</row>
    <row r="271" spans="1:98" s="113" customFormat="1" hidden="1" outlineLevel="1" x14ac:dyDescent="0.35">
      <c r="A271" s="113" t="s">
        <v>518</v>
      </c>
      <c r="B271" s="119" t="s">
        <v>519</v>
      </c>
      <c r="C271" s="119" t="str">
        <f t="shared" si="4"/>
        <v xml:space="preserve">TO Tonga CCC: </v>
      </c>
      <c r="D271" s="120"/>
      <c r="E271" s="113" t="s">
        <v>227</v>
      </c>
      <c r="F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</row>
    <row r="272" spans="1:98" s="113" customFormat="1" hidden="1" outlineLevel="1" x14ac:dyDescent="0.35">
      <c r="A272" s="113" t="s">
        <v>520</v>
      </c>
      <c r="B272" s="119" t="s">
        <v>521</v>
      </c>
      <c r="C272" s="119" t="str">
        <f t="shared" si="4"/>
        <v>TT Trinidad and Tobago CCC: 0,746</v>
      </c>
      <c r="D272" s="120">
        <v>0.746</v>
      </c>
      <c r="E272" s="113" t="s">
        <v>227</v>
      </c>
      <c r="F272" s="22"/>
      <c r="G272" s="258"/>
      <c r="H272" s="259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</row>
    <row r="273" spans="1:98" s="113" customFormat="1" hidden="1" outlineLevel="1" x14ac:dyDescent="0.35">
      <c r="A273" s="113" t="s">
        <v>522</v>
      </c>
      <c r="B273" s="119" t="s">
        <v>523</v>
      </c>
      <c r="C273" s="119" t="str">
        <f t="shared" si="4"/>
        <v>TN Tunisia CCC: 0,615</v>
      </c>
      <c r="D273" s="120">
        <v>0.61499999999999999</v>
      </c>
      <c r="E273" s="113" t="s">
        <v>224</v>
      </c>
      <c r="F273" s="22"/>
      <c r="G273" s="258"/>
      <c r="H273" s="259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</row>
    <row r="274" spans="1:98" s="113" customFormat="1" hidden="1" outlineLevel="1" x14ac:dyDescent="0.35">
      <c r="A274" s="113" t="s">
        <v>524</v>
      </c>
      <c r="B274" s="119" t="s">
        <v>525</v>
      </c>
      <c r="C274" s="119" t="str">
        <f t="shared" si="4"/>
        <v>TR Turkey CCC: 0,589</v>
      </c>
      <c r="D274" s="120">
        <v>0.58899999999999997</v>
      </c>
      <c r="E274" s="113" t="s">
        <v>224</v>
      </c>
      <c r="F274" s="22"/>
      <c r="G274"/>
      <c r="H274" s="257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</row>
    <row r="275" spans="1:98" s="113" customFormat="1" hidden="1" outlineLevel="1" x14ac:dyDescent="0.35">
      <c r="A275" s="113" t="s">
        <v>526</v>
      </c>
      <c r="B275" s="119" t="s">
        <v>527</v>
      </c>
      <c r="C275" s="119" t="str">
        <f t="shared" si="4"/>
        <v>TM Turkmenistan CCC: 0,756</v>
      </c>
      <c r="D275" s="120">
        <v>0.75600000000000001</v>
      </c>
      <c r="E275" s="113" t="s">
        <v>227</v>
      </c>
      <c r="F275" s="22"/>
      <c r="G275"/>
      <c r="H275" s="257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</row>
    <row r="276" spans="1:98" s="113" customFormat="1" hidden="1" outlineLevel="1" x14ac:dyDescent="0.35">
      <c r="A276" s="113" t="s">
        <v>528</v>
      </c>
      <c r="B276" s="119" t="s">
        <v>529</v>
      </c>
      <c r="C276" s="119" t="str">
        <f t="shared" si="4"/>
        <v>UG Uganda CCC: 0,613</v>
      </c>
      <c r="D276" s="120">
        <v>0.61299999999999999</v>
      </c>
      <c r="E276" s="113" t="s">
        <v>227</v>
      </c>
      <c r="F276" s="22"/>
      <c r="G276" s="258"/>
      <c r="H276" s="259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</row>
    <row r="277" spans="1:98" s="113" customFormat="1" hidden="1" outlineLevel="1" x14ac:dyDescent="0.35">
      <c r="A277" s="113" t="s">
        <v>530</v>
      </c>
      <c r="B277" s="119" t="s">
        <v>531</v>
      </c>
      <c r="C277" s="119" t="str">
        <f t="shared" si="4"/>
        <v>UA Ukraine CCC: 0,625</v>
      </c>
      <c r="D277" s="120">
        <v>0.625</v>
      </c>
      <c r="E277" s="113" t="s">
        <v>224</v>
      </c>
      <c r="F277" s="22"/>
      <c r="G277"/>
      <c r="H277" s="257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</row>
    <row r="278" spans="1:98" s="113" customFormat="1" hidden="1" outlineLevel="1" x14ac:dyDescent="0.35">
      <c r="A278" s="113" t="s">
        <v>532</v>
      </c>
      <c r="B278" s="119" t="s">
        <v>533</v>
      </c>
      <c r="C278" s="119" t="str">
        <f t="shared" si="4"/>
        <v>AE United Arab Emirates (the) CCC: 0,858</v>
      </c>
      <c r="D278" s="120">
        <v>0.85799999999999998</v>
      </c>
      <c r="E278" s="113" t="s">
        <v>227</v>
      </c>
      <c r="F278" s="22"/>
      <c r="G278" s="258"/>
      <c r="H278" s="259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</row>
    <row r="279" spans="1:98" s="113" customFormat="1" hidden="1" outlineLevel="1" x14ac:dyDescent="0.35">
      <c r="A279" s="113" t="s">
        <v>534</v>
      </c>
      <c r="B279" s="119" t="s">
        <v>535</v>
      </c>
      <c r="C279" s="119" t="str">
        <f t="shared" si="4"/>
        <v>UK United Kingdom of Great Britain and Northern Ireland (the) CCC: 1,249</v>
      </c>
      <c r="D279" s="120">
        <v>1.2490000000000001</v>
      </c>
      <c r="E279" s="113" t="s">
        <v>238</v>
      </c>
      <c r="F279" s="22"/>
      <c r="G279"/>
      <c r="H279" s="257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</row>
    <row r="280" spans="1:98" s="113" customFormat="1" hidden="1" outlineLevel="1" x14ac:dyDescent="0.35">
      <c r="A280" s="113" t="s">
        <v>536</v>
      </c>
      <c r="B280" s="119" t="s">
        <v>537</v>
      </c>
      <c r="C280" s="119" t="str">
        <f t="shared" si="4"/>
        <v>US United States of America (the) CCC: 0,933</v>
      </c>
      <c r="D280" s="120">
        <v>0.93300000000000005</v>
      </c>
      <c r="E280" s="113" t="s">
        <v>227</v>
      </c>
      <c r="F280" s="22"/>
      <c r="G280" s="258"/>
      <c r="H280" s="259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</row>
    <row r="281" spans="1:98" s="113" customFormat="1" hidden="1" outlineLevel="1" x14ac:dyDescent="0.35">
      <c r="A281" s="113" t="s">
        <v>538</v>
      </c>
      <c r="B281" s="119" t="s">
        <v>539</v>
      </c>
      <c r="C281" s="119" t="str">
        <f t="shared" si="4"/>
        <v>UY Uruguay CCC: 0,818</v>
      </c>
      <c r="D281" s="120">
        <v>0.81799999999999995</v>
      </c>
      <c r="E281" s="113" t="s">
        <v>227</v>
      </c>
      <c r="F281" s="22"/>
      <c r="G281"/>
      <c r="H281" s="257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</row>
    <row r="282" spans="1:98" s="113" customFormat="1" hidden="1" outlineLevel="1" x14ac:dyDescent="0.35">
      <c r="A282" s="113" t="s">
        <v>540</v>
      </c>
      <c r="B282" s="119" t="s">
        <v>541</v>
      </c>
      <c r="C282" s="119" t="str">
        <f t="shared" si="4"/>
        <v>UZ Uzbekistan CCC: 0,62</v>
      </c>
      <c r="D282" s="120">
        <v>0.62</v>
      </c>
      <c r="E282" s="113" t="s">
        <v>227</v>
      </c>
      <c r="F282" s="22"/>
      <c r="G282" s="258"/>
      <c r="H282" s="259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</row>
    <row r="283" spans="1:98" s="113" customFormat="1" hidden="1" outlineLevel="1" x14ac:dyDescent="0.35">
      <c r="A283" s="113" t="s">
        <v>542</v>
      </c>
      <c r="B283" s="119" t="s">
        <v>543</v>
      </c>
      <c r="C283" s="119" t="str">
        <f t="shared" si="4"/>
        <v>VU Vanuatu CCC: 0,956</v>
      </c>
      <c r="D283" s="120">
        <v>0.95599999999999996</v>
      </c>
      <c r="E283" s="113" t="s">
        <v>227</v>
      </c>
      <c r="F283" s="22"/>
      <c r="G283"/>
      <c r="H283" s="257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</row>
    <row r="284" spans="1:98" s="113" customFormat="1" hidden="1" outlineLevel="1" x14ac:dyDescent="0.35">
      <c r="A284" s="113" t="s">
        <v>544</v>
      </c>
      <c r="B284" s="119" t="s">
        <v>545</v>
      </c>
      <c r="C284" s="119" t="str">
        <f t="shared" ref="C284:C290" si="5">A284&amp;" "&amp;B284&amp;" "&amp;"CCC: "&amp;D284</f>
        <v>VE Venezuela (Bolivarian Republic of) CCC: 1,27</v>
      </c>
      <c r="D284" s="120">
        <v>1.27</v>
      </c>
      <c r="E284" s="113" t="s">
        <v>227</v>
      </c>
      <c r="F284" s="22"/>
      <c r="G284"/>
      <c r="H284" s="257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</row>
    <row r="285" spans="1:98" s="113" customFormat="1" hidden="1" outlineLevel="1" x14ac:dyDescent="0.35">
      <c r="A285" s="113" t="s">
        <v>546</v>
      </c>
      <c r="B285" s="119" t="s">
        <v>547</v>
      </c>
      <c r="C285" s="119" t="str">
        <f t="shared" si="5"/>
        <v>VN Viet Nam CCC: 0,559</v>
      </c>
      <c r="D285" s="120">
        <v>0.55900000000000005</v>
      </c>
      <c r="E285" s="113" t="s">
        <v>227</v>
      </c>
      <c r="F285" s="22"/>
      <c r="G285" s="258"/>
      <c r="H285" s="259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</row>
    <row r="286" spans="1:98" s="113" customFormat="1" hidden="1" outlineLevel="1" x14ac:dyDescent="0.35">
      <c r="A286" s="113" t="s">
        <v>548</v>
      </c>
      <c r="B286" s="119" t="s">
        <v>549</v>
      </c>
      <c r="C286" s="119" t="str">
        <f t="shared" si="5"/>
        <v>YE Yemen CCC: 0,953</v>
      </c>
      <c r="D286" s="120">
        <v>0.95299999999999996</v>
      </c>
      <c r="E286" s="113" t="s">
        <v>227</v>
      </c>
      <c r="F286" s="22"/>
      <c r="G286" s="258"/>
      <c r="H286" s="259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</row>
    <row r="287" spans="1:98" s="113" customFormat="1" hidden="1" outlineLevel="1" x14ac:dyDescent="0.35">
      <c r="A287" s="113" t="s">
        <v>550</v>
      </c>
      <c r="B287" s="119" t="s">
        <v>551</v>
      </c>
      <c r="C287" s="119" t="str">
        <f t="shared" si="5"/>
        <v>ZM Zambia CCC: 0,682</v>
      </c>
      <c r="D287" s="120">
        <v>0.68200000000000005</v>
      </c>
      <c r="E287" s="113" t="s">
        <v>227</v>
      </c>
      <c r="F287" s="22"/>
      <c r="G287" s="258"/>
      <c r="H287" s="259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</row>
    <row r="288" spans="1:98" s="113" customFormat="1" hidden="1" outlineLevel="1" x14ac:dyDescent="0.35">
      <c r="A288" s="113" t="s">
        <v>552</v>
      </c>
      <c r="B288" s="119" t="s">
        <v>553</v>
      </c>
      <c r="C288" s="119" t="str">
        <f t="shared" si="5"/>
        <v>ZW Zimbabwe CCC: 0,897</v>
      </c>
      <c r="D288" s="120">
        <v>0.89700000000000002</v>
      </c>
      <c r="E288" s="113" t="s">
        <v>227</v>
      </c>
      <c r="F288" s="22"/>
      <c r="G288"/>
      <c r="H288" s="257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</row>
    <row r="289" spans="1:98" s="113" customFormat="1" hidden="1" outlineLevel="1" x14ac:dyDescent="0.35">
      <c r="A289" s="113" t="s">
        <v>554</v>
      </c>
      <c r="C289" s="119" t="str">
        <f t="shared" si="5"/>
        <v>EL  CCC: 0,745</v>
      </c>
      <c r="D289" s="120">
        <v>0.745</v>
      </c>
      <c r="E289" s="113" t="s">
        <v>238</v>
      </c>
      <c r="F289" s="22"/>
      <c r="G289"/>
      <c r="H289" s="257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</row>
    <row r="290" spans="1:98" s="113" customFormat="1" hidden="1" outlineLevel="1" x14ac:dyDescent="0.35">
      <c r="A290" s="113" t="s">
        <v>555</v>
      </c>
      <c r="C290" s="119" t="str">
        <f t="shared" si="5"/>
        <v>XK  CCC: 0,641</v>
      </c>
      <c r="D290" s="120">
        <v>0.64100000000000001</v>
      </c>
      <c r="E290" s="113" t="s">
        <v>227</v>
      </c>
      <c r="F290" s="22"/>
      <c r="G290"/>
      <c r="H290" s="257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</row>
    <row r="291" spans="1:98" s="113" customFormat="1" hidden="1" outlineLevel="1" x14ac:dyDescent="0.35">
      <c r="A291" s="21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</row>
    <row r="292" spans="1:98" s="113" customFormat="1" hidden="1" outlineLevel="1" x14ac:dyDescent="0.35">
      <c r="A292" s="21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</row>
    <row r="293" spans="1:98" s="113" customFormat="1" collapsed="1" x14ac:dyDescent="0.35">
      <c r="A293" s="21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</row>
    <row r="294" spans="1:98" s="123" customFormat="1" x14ac:dyDescent="0.35">
      <c r="A294" s="121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2"/>
      <c r="AC294" s="122"/>
      <c r="AD294" s="122"/>
      <c r="AE294" s="122"/>
      <c r="AF294" s="122"/>
      <c r="AG294" s="122"/>
      <c r="AH294" s="122"/>
      <c r="AI294" s="122"/>
      <c r="AJ294" s="122"/>
      <c r="AK294" s="122"/>
      <c r="AL294" s="122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2"/>
      <c r="BF294" s="122"/>
      <c r="BG294" s="122"/>
      <c r="BH294" s="122"/>
      <c r="BI294" s="122"/>
      <c r="BJ294" s="122"/>
      <c r="BK294" s="122"/>
      <c r="BL294" s="122"/>
      <c r="BM294" s="122"/>
      <c r="BN294" s="122"/>
      <c r="BO294" s="122"/>
      <c r="BP294" s="122"/>
      <c r="BQ294" s="122"/>
      <c r="BR294" s="122"/>
      <c r="BS294" s="122"/>
      <c r="BT294" s="122"/>
      <c r="BU294" s="122"/>
      <c r="BV294" s="122"/>
      <c r="BW294" s="122"/>
      <c r="BX294" s="122"/>
      <c r="BY294" s="122"/>
      <c r="BZ294" s="122"/>
      <c r="CA294" s="122"/>
      <c r="CB294" s="122"/>
      <c r="CC294" s="122"/>
      <c r="CD294" s="122"/>
      <c r="CE294" s="122"/>
      <c r="CF294" s="122"/>
      <c r="CG294" s="122"/>
      <c r="CH294" s="122"/>
      <c r="CI294" s="122"/>
      <c r="CJ294" s="122"/>
      <c r="CK294" s="122"/>
      <c r="CL294" s="122"/>
      <c r="CM294" s="122"/>
      <c r="CN294" s="122"/>
      <c r="CO294" s="122"/>
      <c r="CP294" s="122"/>
      <c r="CQ294" s="122"/>
      <c r="CR294" s="122"/>
      <c r="CS294" s="122"/>
      <c r="CT294" s="122"/>
    </row>
    <row r="295" spans="1:98" s="113" customFormat="1" x14ac:dyDescent="0.35"/>
    <row r="296" spans="1:98" s="113" customFormat="1" ht="18.5" x14ac:dyDescent="0.45">
      <c r="A296" s="124" t="s">
        <v>172</v>
      </c>
    </row>
    <row r="297" spans="1:98" s="113" customFormat="1" x14ac:dyDescent="0.35"/>
    <row r="298" spans="1:98" s="113" customFormat="1" outlineLevel="1" x14ac:dyDescent="0.35">
      <c r="A298" s="23" t="s">
        <v>173</v>
      </c>
      <c r="C298" s="23" t="s">
        <v>48</v>
      </c>
      <c r="E298" s="23" t="s">
        <v>47</v>
      </c>
      <c r="G298" s="23" t="s">
        <v>628</v>
      </c>
      <c r="H298" s="23" t="s">
        <v>625</v>
      </c>
    </row>
    <row r="299" spans="1:98" s="113" customFormat="1" outlineLevel="1" x14ac:dyDescent="0.35">
      <c r="A299" s="125" t="s">
        <v>18</v>
      </c>
      <c r="C299" s="21" t="s">
        <v>53</v>
      </c>
      <c r="E299" s="21" t="s">
        <v>53</v>
      </c>
      <c r="G299" s="21" t="s">
        <v>824</v>
      </c>
      <c r="H299" s="21" t="s">
        <v>656</v>
      </c>
    </row>
    <row r="300" spans="1:98" s="113" customFormat="1" outlineLevel="1" x14ac:dyDescent="0.35">
      <c r="A300" s="126" t="s">
        <v>24</v>
      </c>
      <c r="C300" s="21" t="s">
        <v>18</v>
      </c>
      <c r="E300" s="21" t="s">
        <v>18</v>
      </c>
      <c r="G300" s="21" t="s">
        <v>825</v>
      </c>
      <c r="H300" s="21" t="s">
        <v>656</v>
      </c>
    </row>
    <row r="301" spans="1:98" s="113" customFormat="1" outlineLevel="1" x14ac:dyDescent="0.35">
      <c r="A301" s="126" t="s">
        <v>51</v>
      </c>
      <c r="C301" s="21" t="s">
        <v>837</v>
      </c>
      <c r="E301" s="21" t="s">
        <v>837</v>
      </c>
      <c r="G301" s="21" t="s">
        <v>28</v>
      </c>
      <c r="H301" s="21" t="s">
        <v>656</v>
      </c>
    </row>
    <row r="302" spans="1:98" s="113" customFormat="1" outlineLevel="1" x14ac:dyDescent="0.35">
      <c r="A302" s="126" t="s">
        <v>50</v>
      </c>
      <c r="C302" s="21" t="s">
        <v>838</v>
      </c>
      <c r="E302" s="21" t="s">
        <v>838</v>
      </c>
      <c r="G302" s="21" t="s">
        <v>58</v>
      </c>
      <c r="H302" s="21" t="s">
        <v>656</v>
      </c>
    </row>
    <row r="303" spans="1:98" s="113" customFormat="1" outlineLevel="1" x14ac:dyDescent="0.35">
      <c r="A303" s="126" t="s">
        <v>22</v>
      </c>
      <c r="C303" s="21" t="s">
        <v>839</v>
      </c>
      <c r="E303" s="21" t="s">
        <v>839</v>
      </c>
      <c r="G303" s="21" t="s">
        <v>29</v>
      </c>
      <c r="H303" s="21" t="s">
        <v>656</v>
      </c>
    </row>
    <row r="304" spans="1:98" s="113" customFormat="1" outlineLevel="1" x14ac:dyDescent="0.35">
      <c r="A304" s="126" t="s">
        <v>26</v>
      </c>
      <c r="C304" s="21" t="s">
        <v>840</v>
      </c>
      <c r="E304" s="21" t="s">
        <v>840</v>
      </c>
      <c r="G304" s="21" t="s">
        <v>30</v>
      </c>
      <c r="H304" s="21" t="s">
        <v>656</v>
      </c>
    </row>
    <row r="305" spans="1:8" s="113" customFormat="1" outlineLevel="1" x14ac:dyDescent="0.35">
      <c r="A305" s="126" t="s">
        <v>27</v>
      </c>
      <c r="C305" s="21" t="s">
        <v>841</v>
      </c>
      <c r="E305" s="21" t="s">
        <v>841</v>
      </c>
      <c r="G305" s="21" t="s">
        <v>826</v>
      </c>
      <c r="H305" s="21" t="s">
        <v>656</v>
      </c>
    </row>
    <row r="306" spans="1:8" s="113" customFormat="1" outlineLevel="1" x14ac:dyDescent="0.35">
      <c r="A306" s="126" t="s">
        <v>19</v>
      </c>
      <c r="C306" s="21" t="s">
        <v>20</v>
      </c>
      <c r="E306" s="21" t="s">
        <v>20</v>
      </c>
      <c r="G306" s="21" t="s">
        <v>827</v>
      </c>
      <c r="H306" s="21" t="s">
        <v>656</v>
      </c>
    </row>
    <row r="307" spans="1:8" s="113" customFormat="1" outlineLevel="1" x14ac:dyDescent="0.35">
      <c r="A307" s="126" t="s">
        <v>25</v>
      </c>
      <c r="G307" s="21" t="s">
        <v>59</v>
      </c>
      <c r="H307" s="21" t="s">
        <v>656</v>
      </c>
    </row>
    <row r="308" spans="1:8" s="113" customFormat="1" outlineLevel="1" x14ac:dyDescent="0.35">
      <c r="A308" s="126" t="s">
        <v>23</v>
      </c>
      <c r="G308" s="21" t="s">
        <v>828</v>
      </c>
      <c r="H308" s="21" t="s">
        <v>656</v>
      </c>
    </row>
    <row r="309" spans="1:8" s="113" customFormat="1" outlineLevel="1" x14ac:dyDescent="0.35">
      <c r="G309" s="21" t="s">
        <v>829</v>
      </c>
      <c r="H309" s="21" t="s">
        <v>656</v>
      </c>
    </row>
    <row r="310" spans="1:8" s="113" customFormat="1" outlineLevel="1" x14ac:dyDescent="0.35">
      <c r="G310" s="21" t="s">
        <v>31</v>
      </c>
      <c r="H310" s="21" t="s">
        <v>656</v>
      </c>
    </row>
    <row r="311" spans="1:8" s="113" customFormat="1" outlineLevel="1" x14ac:dyDescent="0.35">
      <c r="G311" s="21" t="s">
        <v>55</v>
      </c>
      <c r="H311" s="21" t="s">
        <v>656</v>
      </c>
    </row>
    <row r="312" spans="1:8" s="113" customFormat="1" outlineLevel="1" x14ac:dyDescent="0.35">
      <c r="G312" s="21" t="s">
        <v>56</v>
      </c>
      <c r="H312" s="21" t="s">
        <v>656</v>
      </c>
    </row>
    <row r="313" spans="1:8" s="113" customFormat="1" outlineLevel="1" x14ac:dyDescent="0.35">
      <c r="G313" s="21" t="s">
        <v>54</v>
      </c>
      <c r="H313" s="21" t="s">
        <v>656</v>
      </c>
    </row>
    <row r="314" spans="1:8" s="113" customFormat="1" outlineLevel="1" x14ac:dyDescent="0.35">
      <c r="G314" s="21" t="s">
        <v>21</v>
      </c>
      <c r="H314" s="21" t="s">
        <v>656</v>
      </c>
    </row>
    <row r="315" spans="1:8" s="113" customFormat="1" outlineLevel="1" x14ac:dyDescent="0.35">
      <c r="G315" s="21" t="s">
        <v>830</v>
      </c>
      <c r="H315" s="21" t="s">
        <v>656</v>
      </c>
    </row>
    <row r="316" spans="1:8" s="113" customFormat="1" outlineLevel="1" x14ac:dyDescent="0.35">
      <c r="G316" s="21" t="s">
        <v>831</v>
      </c>
      <c r="H316" s="21" t="s">
        <v>656</v>
      </c>
    </row>
    <row r="317" spans="1:8" s="113" customFormat="1" outlineLevel="1" x14ac:dyDescent="0.35">
      <c r="G317" s="21"/>
      <c r="H317" s="21"/>
    </row>
    <row r="318" spans="1:8" s="113" customFormat="1" outlineLevel="1" x14ac:dyDescent="0.35"/>
    <row r="319" spans="1:8" s="113" customFormat="1" outlineLevel="1" x14ac:dyDescent="0.35"/>
    <row r="320" spans="1:8" s="113" customFormat="1" outlineLevel="1" x14ac:dyDescent="0.35"/>
    <row r="321" spans="1:106" s="113" customFormat="1" outlineLevel="1" x14ac:dyDescent="0.35">
      <c r="E321" s="21"/>
    </row>
    <row r="322" spans="1:106" s="113" customFormat="1" outlineLevel="1" x14ac:dyDescent="0.35">
      <c r="E322" s="21"/>
    </row>
    <row r="323" spans="1:106" s="113" customFormat="1" outlineLevel="1" x14ac:dyDescent="0.35"/>
    <row r="324" spans="1:106" s="113" customFormat="1" ht="14.25" customHeight="1" outlineLevel="1" x14ac:dyDescent="0.35"/>
    <row r="325" spans="1:106" s="113" customFormat="1" outlineLevel="1" x14ac:dyDescent="0.35"/>
    <row r="326" spans="1:106" s="113" customFormat="1" outlineLevel="1" x14ac:dyDescent="0.35"/>
    <row r="327" spans="1:106" s="113" customFormat="1" outlineLevel="1" x14ac:dyDescent="0.35"/>
    <row r="328" spans="1:106" s="113" customFormat="1" outlineLevel="1" x14ac:dyDescent="0.35"/>
    <row r="329" spans="1:106" s="113" customFormat="1" outlineLevel="1" x14ac:dyDescent="0.35"/>
    <row r="330" spans="1:106" s="113" customFormat="1" x14ac:dyDescent="0.35"/>
    <row r="331" spans="1:106" s="113" customFormat="1" x14ac:dyDescent="0.35">
      <c r="C331" s="21"/>
    </row>
    <row r="332" spans="1:106" ht="11.25" customHeight="1" x14ac:dyDescent="0.35">
      <c r="A332" s="53"/>
      <c r="E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3"/>
      <c r="AC332" s="113"/>
      <c r="AD332" s="113"/>
      <c r="AE332" s="113"/>
      <c r="AF332" s="113"/>
      <c r="CT332" s="22"/>
      <c r="CU332" s="22"/>
      <c r="CV332" s="22"/>
      <c r="CW332" s="22"/>
      <c r="CX332" s="22"/>
      <c r="CY332" s="22"/>
      <c r="CZ332" s="22"/>
      <c r="DA332" s="22"/>
      <c r="DB332" s="22"/>
    </row>
    <row r="333" spans="1:106" ht="11.25" customHeight="1" x14ac:dyDescent="0.35">
      <c r="A333" s="53"/>
      <c r="C333" s="113"/>
      <c r="E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CT333" s="22"/>
      <c r="CU333" s="22"/>
      <c r="CV333" s="22"/>
      <c r="CW333" s="22"/>
      <c r="CX333" s="22"/>
      <c r="CY333" s="22"/>
      <c r="CZ333" s="22"/>
      <c r="DA333" s="22"/>
      <c r="DB333" s="22"/>
    </row>
    <row r="334" spans="1:106" s="113" customFormat="1" ht="11.25" customHeight="1" x14ac:dyDescent="0.35"/>
    <row r="335" spans="1:106" s="113" customFormat="1" ht="11.25" customHeight="1" x14ac:dyDescent="0.35"/>
    <row r="336" spans="1:106" s="113" customFormat="1" ht="11.25" customHeight="1" x14ac:dyDescent="0.35">
      <c r="G336" s="21"/>
    </row>
    <row r="337" spans="7:7" s="113" customFormat="1" ht="11.25" customHeight="1" x14ac:dyDescent="0.35">
      <c r="G337" s="21"/>
    </row>
    <row r="338" spans="7:7" s="113" customFormat="1" ht="13.5" customHeight="1" x14ac:dyDescent="0.35"/>
    <row r="339" spans="7:7" s="113" customFormat="1" ht="13.5" customHeight="1" x14ac:dyDescent="0.35"/>
    <row r="340" spans="7:7" s="113" customFormat="1" ht="13.5" customHeight="1" x14ac:dyDescent="0.35"/>
    <row r="341" spans="7:7" s="113" customFormat="1" ht="13.5" customHeight="1" x14ac:dyDescent="0.35"/>
    <row r="342" spans="7:7" s="113" customFormat="1" ht="13.5" customHeight="1" x14ac:dyDescent="0.35"/>
    <row r="343" spans="7:7" s="113" customFormat="1" ht="13.5" customHeight="1" x14ac:dyDescent="0.35"/>
    <row r="344" spans="7:7" s="113" customFormat="1" ht="13.5" customHeight="1" x14ac:dyDescent="0.35"/>
    <row r="345" spans="7:7" s="113" customFormat="1" ht="13.5" customHeight="1" x14ac:dyDescent="0.35"/>
    <row r="346" spans="7:7" s="113" customFormat="1" ht="13.5" customHeight="1" x14ac:dyDescent="0.35"/>
    <row r="347" spans="7:7" s="113" customFormat="1" ht="13.5" customHeight="1" x14ac:dyDescent="0.35"/>
    <row r="348" spans="7:7" s="113" customFormat="1" ht="13.5" customHeight="1" x14ac:dyDescent="0.35"/>
    <row r="349" spans="7:7" s="113" customFormat="1" ht="13.5" customHeight="1" x14ac:dyDescent="0.35"/>
    <row r="350" spans="7:7" s="113" customFormat="1" x14ac:dyDescent="0.35"/>
    <row r="351" spans="7:7" s="113" customFormat="1" x14ac:dyDescent="0.35"/>
    <row r="352" spans="7:7" s="113" customFormat="1" x14ac:dyDescent="0.35"/>
    <row r="353" spans="5:5" s="113" customFormat="1" x14ac:dyDescent="0.35"/>
    <row r="354" spans="5:5" s="113" customFormat="1" x14ac:dyDescent="0.35"/>
    <row r="355" spans="5:5" s="113" customFormat="1" x14ac:dyDescent="0.35"/>
    <row r="356" spans="5:5" s="113" customFormat="1" x14ac:dyDescent="0.35"/>
    <row r="357" spans="5:5" s="113" customFormat="1" x14ac:dyDescent="0.35"/>
    <row r="358" spans="5:5" s="113" customFormat="1" x14ac:dyDescent="0.35"/>
    <row r="359" spans="5:5" s="113" customFormat="1" x14ac:dyDescent="0.35"/>
    <row r="360" spans="5:5" s="113" customFormat="1" x14ac:dyDescent="0.35"/>
    <row r="361" spans="5:5" s="113" customFormat="1" x14ac:dyDescent="0.35"/>
    <row r="362" spans="5:5" s="113" customFormat="1" x14ac:dyDescent="0.35"/>
    <row r="363" spans="5:5" s="113" customFormat="1" x14ac:dyDescent="0.35"/>
    <row r="364" spans="5:5" s="113" customFormat="1" x14ac:dyDescent="0.35"/>
    <row r="365" spans="5:5" s="113" customFormat="1" x14ac:dyDescent="0.35">
      <c r="E365" s="21"/>
    </row>
    <row r="366" spans="5:5" s="113" customFormat="1" x14ac:dyDescent="0.35">
      <c r="E366" s="21"/>
    </row>
    <row r="367" spans="5:5" s="113" customFormat="1" x14ac:dyDescent="0.35">
      <c r="E367" s="21"/>
    </row>
    <row r="368" spans="5:5" s="113" customFormat="1" x14ac:dyDescent="0.35">
      <c r="E368" s="21"/>
    </row>
    <row r="369" spans="3:14" s="113" customFormat="1" x14ac:dyDescent="0.35">
      <c r="E369" s="21"/>
    </row>
    <row r="370" spans="3:14" s="113" customFormat="1" x14ac:dyDescent="0.35">
      <c r="E370" s="21"/>
    </row>
    <row r="371" spans="3:14" s="113" customFormat="1" x14ac:dyDescent="0.35">
      <c r="E371" s="21"/>
    </row>
    <row r="372" spans="3:14" s="113" customFormat="1" x14ac:dyDescent="0.35">
      <c r="E372" s="21"/>
    </row>
    <row r="373" spans="3:14" s="113" customFormat="1" x14ac:dyDescent="0.35">
      <c r="E373" s="21"/>
    </row>
    <row r="374" spans="3:14" s="113" customFormat="1" x14ac:dyDescent="0.35">
      <c r="E374" s="21"/>
    </row>
    <row r="375" spans="3:14" s="113" customFormat="1" x14ac:dyDescent="0.35">
      <c r="C375" s="21"/>
      <c r="E375" s="21"/>
    </row>
    <row r="376" spans="3:14" x14ac:dyDescent="0.35">
      <c r="G376" s="113"/>
      <c r="H376" s="113"/>
      <c r="N376" s="79"/>
    </row>
    <row r="377" spans="3:14" x14ac:dyDescent="0.35">
      <c r="G377" s="113"/>
      <c r="H377" s="113"/>
      <c r="N377" s="79"/>
    </row>
    <row r="378" spans="3:14" x14ac:dyDescent="0.35">
      <c r="G378" s="113"/>
      <c r="H378" s="113"/>
    </row>
    <row r="379" spans="3:14" x14ac:dyDescent="0.35">
      <c r="G379" s="113"/>
      <c r="H379" s="113"/>
    </row>
    <row r="406" spans="2:2" x14ac:dyDescent="0.35">
      <c r="B406" s="23"/>
    </row>
    <row r="437" spans="2:2" x14ac:dyDescent="0.35">
      <c r="B437" s="23"/>
    </row>
    <row r="468" spans="2:2" x14ac:dyDescent="0.35">
      <c r="B468" s="23"/>
    </row>
    <row r="499" spans="2:2" x14ac:dyDescent="0.35">
      <c r="B499" s="23"/>
    </row>
    <row r="520" spans="1:3" collapsed="1" x14ac:dyDescent="0.35">
      <c r="C520" s="21" t="e">
        <f t="shared" ref="C520:C528" si="6">IF(NOT(A521=""),"issue","")</f>
        <v>#REF!</v>
      </c>
    </row>
    <row r="521" spans="1:3" hidden="1" outlineLevel="1" x14ac:dyDescent="0.35">
      <c r="A521" s="21" t="e">
        <f>IF(AND(NOT(Budget!#REF!=""),Budget!#REF!=""),parameters!$C$498,"")</f>
        <v>#REF!</v>
      </c>
      <c r="C521" s="21" t="e">
        <f t="shared" si="6"/>
        <v>#REF!</v>
      </c>
    </row>
    <row r="522" spans="1:3" hidden="1" outlineLevel="1" x14ac:dyDescent="0.35">
      <c r="A522" s="21" t="e">
        <f>IF(AND(NOT(Budget!#REF!=""),Budget!#REF!=""),parameters!$C$498,"")</f>
        <v>#REF!</v>
      </c>
      <c r="C522" s="21" t="e">
        <f t="shared" si="6"/>
        <v>#REF!</v>
      </c>
    </row>
    <row r="523" spans="1:3" hidden="1" outlineLevel="1" x14ac:dyDescent="0.35">
      <c r="A523" s="21" t="e">
        <f>IF(AND(NOT(Budget!#REF!=""),Budget!#REF!=""),parameters!$C$498,"")</f>
        <v>#REF!</v>
      </c>
      <c r="C523" s="21" t="e">
        <f t="shared" si="6"/>
        <v>#REF!</v>
      </c>
    </row>
    <row r="524" spans="1:3" hidden="1" outlineLevel="1" x14ac:dyDescent="0.35">
      <c r="A524" s="21" t="e">
        <f>IF(AND(NOT(Budget!#REF!=""),Budget!#REF!=""),parameters!$C$498,"")</f>
        <v>#REF!</v>
      </c>
      <c r="C524" s="21" t="e">
        <f t="shared" si="6"/>
        <v>#REF!</v>
      </c>
    </row>
    <row r="525" spans="1:3" hidden="1" outlineLevel="1" x14ac:dyDescent="0.35">
      <c r="A525" s="21" t="e">
        <f>IF(AND(NOT(Budget!#REF!=""),Budget!#REF!=""),parameters!$C$498,"")</f>
        <v>#REF!</v>
      </c>
      <c r="C525" s="21" t="e">
        <f t="shared" si="6"/>
        <v>#REF!</v>
      </c>
    </row>
    <row r="526" spans="1:3" hidden="1" outlineLevel="1" x14ac:dyDescent="0.35">
      <c r="A526" s="21" t="e">
        <f>IF(AND(NOT(Budget!#REF!=""),Budget!#REF!=""),parameters!$C$498,"")</f>
        <v>#REF!</v>
      </c>
      <c r="C526" s="21" t="e">
        <f t="shared" si="6"/>
        <v>#REF!</v>
      </c>
    </row>
    <row r="527" spans="1:3" hidden="1" outlineLevel="1" x14ac:dyDescent="0.35">
      <c r="A527" s="21" t="e">
        <f>IF(AND(NOT(Budget!#REF!=""),Budget!#REF!=""),parameters!$C$498,"")</f>
        <v>#REF!</v>
      </c>
      <c r="C527" s="21" t="e">
        <f t="shared" si="6"/>
        <v>#REF!</v>
      </c>
    </row>
    <row r="528" spans="1:3" hidden="1" outlineLevel="1" x14ac:dyDescent="0.35">
      <c r="A528" s="21" t="e">
        <f>IF(AND(NOT(Budget!#REF!=""),Budget!#REF!=""),parameters!$C$498,"")</f>
        <v>#REF!</v>
      </c>
      <c r="C528" s="21" t="e">
        <f t="shared" si="6"/>
        <v>#REF!</v>
      </c>
    </row>
    <row r="529" spans="1:2" hidden="1" outlineLevel="1" x14ac:dyDescent="0.35">
      <c r="A529" s="21" t="e">
        <f>IF(AND(NOT(Budget!#REF!=""),Budget!#REF!=""),parameters!$C$498,"")</f>
        <v>#REF!</v>
      </c>
    </row>
    <row r="530" spans="1:2" collapsed="1" x14ac:dyDescent="0.35">
      <c r="B530" s="23"/>
    </row>
  </sheetData>
  <sheetProtection sheet="1" objects="1" scenarios="1" selectLockedCells="1" selectUnlockedCells="1"/>
  <sortState xmlns:xlrd2="http://schemas.microsoft.com/office/spreadsheetml/2017/richdata2" ref="G142:I304">
    <sortCondition ref="I142:I304"/>
  </sortState>
  <hyperlinks>
    <hyperlink ref="A120" r:id="rId1" xr:uid="{00000000-0004-0000-0200-000000000000}"/>
    <hyperlink ref="A119" r:id="rId2" xr:uid="{00000000-0004-0000-0200-000001000000}"/>
  </hyperlinks>
  <pageMargins left="0.7" right="0.7" top="0.75" bottom="0.75" header="0.3" footer="0.3"/>
  <pageSetup paperSize="9" orientation="portrait" r:id="rId3"/>
  <tableParts count="7">
    <tablePart r:id="rId4"/>
    <tablePart r:id="rId5"/>
    <tablePart r:id="rId6"/>
    <tablePart r:id="rId7"/>
    <tablePart r:id="rId8"/>
    <tablePart r:id="rId9"/>
    <tablePart r:id="rId1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>
    <outlinePr summaryBelow="0"/>
  </sheetPr>
  <dimension ref="A2:DH745"/>
  <sheetViews>
    <sheetView topLeftCell="A244" workbookViewId="0">
      <selection activeCell="E156" sqref="E156"/>
    </sheetView>
  </sheetViews>
  <sheetFormatPr defaultColWidth="9.1796875" defaultRowHeight="14.5" outlineLevelRow="1" x14ac:dyDescent="0.35"/>
  <cols>
    <col min="1" max="1" width="47.54296875" style="113" customWidth="1"/>
    <col min="2" max="2" width="32.26953125" style="113" customWidth="1"/>
    <col min="3" max="3" width="23.7265625" style="113" customWidth="1"/>
    <col min="4" max="4" width="33.26953125" style="113" customWidth="1"/>
    <col min="5" max="5" width="22.26953125" style="113" customWidth="1"/>
    <col min="6" max="6" width="21.54296875" style="113" customWidth="1"/>
    <col min="7" max="7" width="22.54296875" style="113" customWidth="1"/>
    <col min="8" max="23" width="9.1796875" style="113"/>
    <col min="24" max="24" width="24.54296875" style="113" customWidth="1"/>
    <col min="25" max="25" width="19.26953125" style="113" customWidth="1"/>
    <col min="26" max="16384" width="9.1796875" style="113"/>
  </cols>
  <sheetData>
    <row r="2" spans="1:112" ht="18.5" x14ac:dyDescent="0.35">
      <c r="A2" s="53" t="s">
        <v>556</v>
      </c>
    </row>
    <row r="6" spans="1:112" s="21" customFormat="1" x14ac:dyDescent="0.35"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CT6" s="22"/>
      <c r="CU6" s="22"/>
      <c r="CV6" s="22"/>
      <c r="CW6" s="22"/>
      <c r="CX6" s="22"/>
      <c r="CY6" s="22"/>
      <c r="CZ6" s="22"/>
      <c r="DA6" s="22"/>
      <c r="DB6" s="22"/>
    </row>
    <row r="7" spans="1:112" s="21" customFormat="1" ht="11.25" customHeight="1" x14ac:dyDescent="0.35">
      <c r="A7" s="5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CY7" s="22"/>
      <c r="CZ7" s="22"/>
      <c r="DA7" s="22"/>
      <c r="DB7" s="22"/>
      <c r="DC7" s="22"/>
      <c r="DD7" s="22"/>
      <c r="DE7" s="22"/>
      <c r="DF7" s="22"/>
      <c r="DG7" s="22"/>
    </row>
    <row r="8" spans="1:112" s="21" customFormat="1" ht="13" customHeight="1" x14ac:dyDescent="0.35">
      <c r="B8" s="23" t="s">
        <v>557</v>
      </c>
      <c r="E8" s="23" t="s">
        <v>751</v>
      </c>
      <c r="H8" s="23" t="s">
        <v>587</v>
      </c>
      <c r="K8" s="23" t="s">
        <v>573</v>
      </c>
      <c r="M8" s="113"/>
      <c r="N8" s="23" t="s">
        <v>584</v>
      </c>
      <c r="P8" s="113"/>
      <c r="Q8" s="117" t="s">
        <v>818</v>
      </c>
      <c r="R8" s="113"/>
      <c r="S8" s="113"/>
      <c r="T8" s="113"/>
      <c r="U8" s="113"/>
      <c r="V8" s="113"/>
      <c r="W8" s="113"/>
      <c r="X8" s="117" t="s">
        <v>627</v>
      </c>
      <c r="Y8" s="117" t="s">
        <v>629</v>
      </c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CZ8" s="22"/>
      <c r="DA8" s="22"/>
      <c r="DB8" s="22"/>
      <c r="DC8" s="22"/>
      <c r="DD8" s="22"/>
      <c r="DE8" s="22"/>
      <c r="DF8" s="22"/>
      <c r="DG8" s="22"/>
      <c r="DH8" s="22"/>
    </row>
    <row r="9" spans="1:112" s="21" customFormat="1" ht="13" customHeight="1" x14ac:dyDescent="0.35">
      <c r="B9" s="23" t="s">
        <v>193</v>
      </c>
      <c r="C9" s="21" t="s">
        <v>11</v>
      </c>
      <c r="E9" s="21" t="s">
        <v>193</v>
      </c>
      <c r="F9" s="21" t="s">
        <v>195</v>
      </c>
      <c r="H9" s="21" t="s">
        <v>588</v>
      </c>
      <c r="I9" s="21" t="s">
        <v>589</v>
      </c>
      <c r="K9" s="23" t="s">
        <v>193</v>
      </c>
      <c r="L9" s="21" t="s">
        <v>11</v>
      </c>
      <c r="M9" s="113"/>
      <c r="N9" s="23" t="s">
        <v>193</v>
      </c>
      <c r="O9" s="21" t="s">
        <v>11</v>
      </c>
      <c r="P9" s="113"/>
      <c r="Q9" s="117" t="s">
        <v>193</v>
      </c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CZ9" s="22"/>
      <c r="DA9" s="22"/>
      <c r="DB9" s="22"/>
      <c r="DC9" s="22"/>
      <c r="DD9" s="22"/>
      <c r="DE9" s="22"/>
      <c r="DF9" s="22"/>
      <c r="DG9" s="22"/>
      <c r="DH9" s="22"/>
    </row>
    <row r="10" spans="1:112" s="21" customFormat="1" ht="11.25" customHeight="1" thickBot="1" x14ac:dyDescent="0.4">
      <c r="B10" s="23"/>
      <c r="K10" s="23"/>
      <c r="M10" s="113"/>
      <c r="N10" s="23"/>
      <c r="P10" s="113"/>
      <c r="Q10" s="113"/>
      <c r="R10" s="113" t="s">
        <v>34</v>
      </c>
      <c r="S10" s="113" t="s">
        <v>35</v>
      </c>
      <c r="T10" s="113" t="s">
        <v>36</v>
      </c>
      <c r="U10" s="113" t="s">
        <v>633</v>
      </c>
      <c r="V10" s="113" t="s">
        <v>718</v>
      </c>
      <c r="W10" s="113"/>
      <c r="X10" s="113" t="s">
        <v>11</v>
      </c>
      <c r="Y10" s="113" t="s">
        <v>11</v>
      </c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CZ10" s="22"/>
      <c r="DA10" s="22"/>
      <c r="DB10" s="22"/>
      <c r="DC10" s="22"/>
      <c r="DD10" s="22"/>
      <c r="DE10" s="22"/>
      <c r="DF10" s="22"/>
      <c r="DG10" s="22"/>
      <c r="DH10" s="22"/>
    </row>
    <row r="11" spans="1:112" s="21" customFormat="1" ht="11.25" customHeight="1" x14ac:dyDescent="0.35">
      <c r="B11" s="82" t="e">
        <f ca="1">IF(IFERROR(MATCH("*Other*",OFFSET(Budget!#REF!,B10,0,ROWS(#REF!),1),0)+B10,999)&lt;ROWS(#REF!),IFERROR(MATCH("*Other*",OFFSET(Budget!#REF!,B10,0,ROWS(#REF!),1),0)+B10,999),"")</f>
        <v>#REF!</v>
      </c>
      <c r="C11" s="69" t="str">
        <f ca="1">IFERROR(INDEX(#REF!,B11),"")</f>
        <v/>
      </c>
      <c r="E11" s="82" t="e">
        <f ca="1">IF(MIN(IFERROR(MATCH("*PostDoc*",OFFSET(Budget!#REF!,E10,0,ROWS(#REF!),1),0)+E10,999),IFERROR(MATCH("*PhD*",OFFSET(Budget!#REF!,E10,0,ROWS(#REF!),1),0)+E10,999),IFERROR(MATCH("*PDEng*",OFFSET(Budget!#REF!,E10,0,ROWS(#REF!),1),0)+E10,999))&lt;ROWS(#REF!),MIN(IFERROR(MATCH("*PostDoc*",OFFSET(Budget!#REF!,E10,0,ROWS(#REF!),1),0)+E10,999),IFERROR(MATCH("*PhD*",OFFSET(Budget!#REF!,E10,0,ROWS(#REF!),1),0)+E10,999),IFERROR(MATCH("*PDEng*",OFFSET(Budget!#REF!,E10,0,ROWS(#REF!),1),0)+E10,999)),"")</f>
        <v>#REF!</v>
      </c>
      <c r="F11" s="73" t="str">
        <f ca="1">IFERROR(INDEX(#REF!,E11)*INDEX(#REF!,E11)/12,"")</f>
        <v/>
      </c>
      <c r="G11" s="90"/>
      <c r="H11" s="82" t="e">
        <f ca="1">IF(IFERROR(MATCH("*researcher*",OFFSET(Budget!#REF!,H10,0,ROWS(#REF!),1),0)+H10,999)&lt;ROWS(#REF!),IFERROR(MATCH("*researcher*",OFFSET(Budget!#REF!,H10,0,ROWS(#REF!),1),0)+H10,999),"")</f>
        <v>#REF!</v>
      </c>
      <c r="I11" s="73" t="str">
        <f ca="1">IF(ISERROR(IF(AND(INDEX(#REF!,H11)&gt;=pers_oi_min_months,INDEX(#REF!,H11)/INDEX(#REF!,H11)*12/pers_other_nrhours_year&gt;=pers_oi_minFTE)=TRUE,INDEX(#REF!,H11)/12,0)),"",IF(AND(INDEX(#REF!,H11)&gt;=pers_oi_min_months,INDEX(#REF!,H11)/INDEX(#REF!,H11)*12/pers_other_nrhours_year&gt;=pers_oi_minFTE)=TRUE,INDEX(#REF!,H11)/12,""))</f>
        <v/>
      </c>
      <c r="J11" s="90"/>
      <c r="K11" s="82" t="e">
        <f ca="1">IF(IFERROR(MATCH("*Non-scientific*",OFFSET(Budget!#REF!,K10,0,ROWS(#REF!),1),0)+K10,999)&lt;ROWS(#REF!),IFERROR(MATCH("*Non-scientific*",OFFSET(Budget!#REF!,K10,0,ROWS(#REF!),1),0)+K10,999),"")</f>
        <v>#REF!</v>
      </c>
      <c r="L11" s="69" t="str">
        <f ca="1">IFERROR(INDEX(#REF!,K11),"")</f>
        <v/>
      </c>
      <c r="M11" s="113"/>
      <c r="N11" s="82" t="e">
        <f ca="1">IF(IFERROR(MATCH("*leave*",OFFSET(Budget!#REF!,N10,0,ROWS(#REF!),1),0)+N10,999)&lt;ROWS(#REF!),IFERROR(MATCH("*leave*",OFFSET(Budget!#REF!,N10,0,ROWS(#REF!),1),0)+N10,999),"")</f>
        <v>#REF!</v>
      </c>
      <c r="O11" s="87" t="str">
        <f ca="1">IFERROR(INDEX(#REF!,N11)*INDEX(#REF!,N11),"")</f>
        <v/>
      </c>
      <c r="P11" s="113"/>
      <c r="Q11" s="82" t="e">
        <f ca="1">IF(MIN(IFERROR(MATCH("*PostDoc*",OFFSET(Budget!#REF!,Q10,0,ROWS(#REF!)-Q10,1),0)+Q10,999),IFERROR(MATCH("*PhD*",OFFSET(Budget!#REF!,Q10,0,ROWS(#REF!)-Q10,1),0)+Q10,999),IFERROR(MATCH("*PDEng*",OFFSET(Budget!#REF!,Q10,0,ROWS(#REF!)-Q10,1),0)+Q10,999),IFERROR(MATCH("*Doctorate*",OFFSET(Budget!#REF!,Q10,0,ROWS(#REF!)-Q10,1),0)+Q10,999))&lt;ROWS(#REF!),MIN(IFERROR(MATCH("*PostDoc*",OFFSET(Budget!#REF!,Q10,0,ROWS(#REF!)-Q10,1),0)+Q10,999),IFERROR(MATCH("*PhD*",OFFSET(Budget!#REF!,Q10,0,ROWS(#REF!)-Q10,1),0)+Q10,999),IFERROR(MATCH("*PDEng*",OFFSET(Budget!#REF!,Q10,0,ROWS(#REF!)-Q10,1),0)+Q10,999),IFERROR(MATCH("*Doctorate*",OFFSET(Budget!#REF!,Q10,0,ROWS(#REF!)-Q10,1),0)+Q10,999)),"")</f>
        <v>#REF!</v>
      </c>
      <c r="R11" s="127" t="str">
        <f ca="1">IFERROR(INDEX(#REF!,Q11),"")</f>
        <v/>
      </c>
      <c r="S11" s="127" t="str">
        <f ca="1">IFERROR(INDEX(#REF!,Q11),"")</f>
        <v/>
      </c>
      <c r="T11" s="127" t="str">
        <f ca="1">IFERROR(INDEX(#REF!,Q11),"")</f>
        <v/>
      </c>
      <c r="U11" s="127" t="str">
        <f ca="1">SUBSTITUTE(IFERROR(INDEX(#REF!,Q11),""),0,"")</f>
        <v/>
      </c>
      <c r="V11" s="128" t="str">
        <f ca="1">SUBSTITUTE(IFERROR(INDEX(#REF!,Q11),""),0,"")</f>
        <v/>
      </c>
      <c r="W11" s="113"/>
      <c r="X11" s="129" t="e">
        <f>IF(ROW(E1548)-ROW($E$1548)&lt;ROWS(#REF!),IFERROR(IF(INDEX(list_cofunders[private?],MATCH(Budget!#REF!,list_cofunders[list cofunders],0),1)="yes",Budget!#REF!,""),""),"")</f>
        <v>#REF!</v>
      </c>
      <c r="Y11" s="130" t="e">
        <f>IF(ROW(E1651)-ROW($E$1651)&lt;ROWS(#REF!),IFERROR(IF(INDEX(list_cofunders[private?],MATCH(Budget!#REF!,list_cofunders[list cofunders],0),1)="yes",Budget!#REF!,""),""),"")</f>
        <v>#REF!</v>
      </c>
      <c r="Z11" s="131" t="str">
        <f>IFERROR(INDEX(#REF!,X11),"")</f>
        <v/>
      </c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CZ11" s="22"/>
      <c r="DA11" s="22"/>
      <c r="DB11" s="22"/>
      <c r="DC11" s="22"/>
      <c r="DD11" s="22"/>
      <c r="DE11" s="22"/>
      <c r="DF11" s="22"/>
      <c r="DG11" s="22"/>
      <c r="DH11" s="22"/>
    </row>
    <row r="12" spans="1:112" s="21" customFormat="1" ht="11.25" customHeight="1" outlineLevel="1" x14ac:dyDescent="0.35">
      <c r="B12" s="83" t="e">
        <f ca="1">IF(IFERROR(MATCH("*Other*",OFFSET(Budget!#REF!,B11,0,ROWS(#REF!),1),0)+B11,999)&lt;ROWS(#REF!),IFERROR(MATCH("*Other*",OFFSET(Budget!#REF!,B11,0,ROWS(#REF!),1),0)+B11,999),"")</f>
        <v>#REF!</v>
      </c>
      <c r="C12" s="70" t="str">
        <f ca="1">IFERROR(INDEX(#REF!,B12),"")</f>
        <v/>
      </c>
      <c r="E12" s="83" t="e">
        <f ca="1">IF(MIN(IFERROR(MATCH("*PostDoc*",OFFSET(Budget!#REF!,E11,0,ROWS(#REF!),1),0)+E11,999),IFERROR(MATCH("*PhD*",OFFSET(Budget!#REF!,E11,0,ROWS(#REF!),1),0)+E11,999),IFERROR(MATCH("*PDEng*",OFFSET(Budget!#REF!,E11,0,ROWS(#REF!),1),0)+E11,999))&lt;ROWS(#REF!),MIN(IFERROR(MATCH("*PostDoc*",OFFSET(Budget!#REF!,E11,0,ROWS(#REF!),1),0)+E11,999),IFERROR(MATCH("*PhD*",OFFSET(Budget!#REF!,E11,0,ROWS(#REF!),1),0)+E11,999),IFERROR(MATCH("*PDEng*",OFFSET(Budget!#REF!,E11,0,ROWS(#REF!),1),0)+E11,999)),"")</f>
        <v>#REF!</v>
      </c>
      <c r="F12" s="74" t="str">
        <f ca="1">IFERROR(INDEX(#REF!,E12)*INDEX(#REF!,E12)/12,"")</f>
        <v/>
      </c>
      <c r="G12" s="90"/>
      <c r="H12" s="83" t="e">
        <f ca="1">IF(IFERROR(MATCH("*researcher*",OFFSET(Budget!#REF!,H11,0,ROWS(#REF!),1),0)+H11,999)&lt;ROWS(#REF!),IFERROR(MATCH("*researcher*",OFFSET(Budget!#REF!,H11,0,ROWS(#REF!),1),0)+H11,999),"")</f>
        <v>#REF!</v>
      </c>
      <c r="I12" s="74" t="str">
        <f ca="1">IF(ISERROR(IF(AND(INDEX(#REF!,H12)&gt;=pers_oi_min_months,INDEX(#REF!,H12)/INDEX(#REF!,H12)*12/pers_other_nrhours_year&gt;=pers_oi_minFTE)=TRUE,INDEX(#REF!,H12)/12,0)),"",IF(AND(INDEX(#REF!,H12)&gt;=pers_oi_min_months,INDEX(#REF!,H12)/INDEX(#REF!,H12)*12/pers_other_nrhours_year&gt;=pers_oi_minFTE)=TRUE,INDEX(#REF!,H12)/12,""))</f>
        <v/>
      </c>
      <c r="J12" s="90"/>
      <c r="K12" s="83" t="e">
        <f ca="1">IF(IFERROR(MATCH("*Non-scientific*",OFFSET(Budget!#REF!,K11,0,ROWS(#REF!),1),0)+K11,999)&lt;ROWS(#REF!),IFERROR(MATCH("*Non-scientific*",OFFSET(Budget!#REF!,K11,0,ROWS(#REF!),1),0)+K11,999),"")</f>
        <v>#REF!</v>
      </c>
      <c r="L12" s="70" t="str">
        <f ca="1">IFERROR(INDEX(#REF!,K12),"")</f>
        <v/>
      </c>
      <c r="M12" s="113"/>
      <c r="N12" s="83" t="e">
        <f ca="1">IF(IFERROR(MATCH("*leave*",OFFSET(Budget!#REF!,N11,0,ROWS(#REF!),1),0)+N11,999)&lt;ROWS(#REF!),IFERROR(MATCH("*leave*",OFFSET(Budget!#REF!,N11,0,ROWS(#REF!),1),0)+N11,999),"")</f>
        <v>#REF!</v>
      </c>
      <c r="O12" s="88" t="str">
        <f ca="1">IFERROR(INDEX(#REF!,N12)*INDEX(#REF!,N12),"")</f>
        <v/>
      </c>
      <c r="P12" s="113"/>
      <c r="Q12" s="83" t="e">
        <f ca="1">IF(MIN(IFERROR(MATCH("*PostDoc*",OFFSET(Budget!#REF!,Q11,0,ROWS(#REF!)-Q11,1),0)+Q11,999),IFERROR(MATCH("*PhD*",OFFSET(Budget!#REF!,Q11,0,ROWS(#REF!)-Q11,1),0)+Q11,999),IFERROR(MATCH("*PDEng*",OFFSET(Budget!#REF!,Q11,0,ROWS(#REF!)-Q11,1),0)+Q11,999),IFERROR(MATCH("*Doctorate*",OFFSET(Budget!#REF!,Q11,0,ROWS(#REF!)-Q11,1),0)+Q11,999))&lt;ROWS(#REF!),MIN(IFERROR(MATCH("*PostDoc*",OFFSET(Budget!#REF!,Q11,0,ROWS(#REF!)-Q11,1),0)+Q11,999),IFERROR(MATCH("*PhD*",OFFSET(Budget!#REF!,Q11,0,ROWS(#REF!)-Q11,1),0)+Q11,999),IFERROR(MATCH("*PDEng*",OFFSET(Budget!#REF!,Q11,0,ROWS(#REF!)-Q11,1),0)+Q11,999),IFERROR(MATCH("*Doctorate*",OFFSET(Budget!#REF!,Q11,0,ROWS(#REF!)-Q11,1),0)+Q11,999)),"")</f>
        <v>#REF!</v>
      </c>
      <c r="R12" s="113" t="str">
        <f ca="1">IFERROR(INDEX(#REF!,Q12),"")</f>
        <v/>
      </c>
      <c r="S12" s="113" t="str">
        <f ca="1">IFERROR(INDEX(#REF!,Q12),"")</f>
        <v/>
      </c>
      <c r="T12" s="113" t="str">
        <f ca="1">IFERROR(INDEX(#REF!,Q12),"")</f>
        <v/>
      </c>
      <c r="U12" s="113" t="str">
        <f ca="1">SUBSTITUTE(IFERROR(INDEX(#REF!,Q12),""),0,"")</f>
        <v/>
      </c>
      <c r="V12" s="132" t="str">
        <f ca="1">SUBSTITUTE(IFERROR(INDEX(#REF!,Q12),""),0,"")</f>
        <v/>
      </c>
      <c r="W12" s="113"/>
      <c r="X12" s="133" t="e">
        <f>IF(ROW(E1549)-ROW($E$1548)&lt;ROWS(#REF!),IFERROR(IF(INDEX(list_cofunders[private?],MATCH(Budget!#REF!,list_cofunders[list cofunders],0),1)="yes",Budget!#REF!,""),""),"")</f>
        <v>#REF!</v>
      </c>
      <c r="Y12" s="134" t="e">
        <f>IF(ROW(E1652)-ROW($E$1651)&lt;ROWS(#REF!),IFERROR(IF(INDEX(list_cofunders[private?],MATCH(Budget!#REF!,list_cofunders[list cofunders],0),1)="yes",Budget!#REF!,""),""),"")</f>
        <v>#REF!</v>
      </c>
      <c r="Z12" s="113" t="str">
        <f>IFERROR(INDEX(#REF!,X12),"")</f>
        <v/>
      </c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CZ12" s="22"/>
      <c r="DA12" s="22"/>
      <c r="DB12" s="22"/>
      <c r="DC12" s="22"/>
      <c r="DD12" s="22"/>
      <c r="DE12" s="22"/>
      <c r="DF12" s="22"/>
      <c r="DG12" s="22"/>
      <c r="DH12" s="22"/>
    </row>
    <row r="13" spans="1:112" s="21" customFormat="1" ht="11.25" customHeight="1" outlineLevel="1" x14ac:dyDescent="0.35">
      <c r="B13" s="83" t="e">
        <f ca="1">IF(IFERROR(MATCH("*Other*",OFFSET(Budget!#REF!,B12,0,ROWS(#REF!),1),0)+B12,999)&lt;ROWS(#REF!),IFERROR(MATCH("*Other*",OFFSET(Budget!#REF!,B12,0,ROWS(#REF!),1),0)+B12,999),"")</f>
        <v>#REF!</v>
      </c>
      <c r="C13" s="70" t="str">
        <f ca="1">IFERROR(INDEX(#REF!,B13),"")</f>
        <v/>
      </c>
      <c r="E13" s="83" t="e">
        <f ca="1">IF(MIN(IFERROR(MATCH("*PostDoc*",OFFSET(Budget!#REF!,E12,0,ROWS(#REF!),1),0)+E12,999),IFERROR(MATCH("*PhD*",OFFSET(Budget!#REF!,E12,0,ROWS(#REF!),1),0)+E12,999),IFERROR(MATCH("*PDEng*",OFFSET(Budget!#REF!,E12,0,ROWS(#REF!),1),0)+E12,999))&lt;ROWS(#REF!),MIN(IFERROR(MATCH("*PostDoc*",OFFSET(Budget!#REF!,E12,0,ROWS(#REF!),1),0)+E12,999),IFERROR(MATCH("*PhD*",OFFSET(Budget!#REF!,E12,0,ROWS(#REF!),1),0)+E12,999),IFERROR(MATCH("*PDEng*",OFFSET(Budget!#REF!,E12,0,ROWS(#REF!),1),0)+E12,999)),"")</f>
        <v>#REF!</v>
      </c>
      <c r="F13" s="74" t="str">
        <f ca="1">IFERROR(INDEX(#REF!,E13)*INDEX(#REF!,E13)/12,"")</f>
        <v/>
      </c>
      <c r="G13" s="90"/>
      <c r="H13" s="83" t="e">
        <f ca="1">IF(IFERROR(MATCH("*researcher*",OFFSET(Budget!#REF!,H12,0,ROWS(#REF!),1),0)+H12,999)&lt;ROWS(#REF!),IFERROR(MATCH("*researcher*",OFFSET(Budget!#REF!,H12,0,ROWS(#REF!),1),0)+H12,999),"")</f>
        <v>#REF!</v>
      </c>
      <c r="I13" s="74" t="str">
        <f ca="1">IF(ISERROR(IF(AND(INDEX(#REF!,H13)&gt;=pers_oi_min_months,INDEX(#REF!,H13)/INDEX(#REF!,H13)*12/pers_other_nrhours_year&gt;=pers_oi_minFTE)=TRUE,INDEX(#REF!,H13)/12,0)),"",IF(AND(INDEX(#REF!,H13)&gt;=pers_oi_min_months,INDEX(#REF!,H13)/INDEX(#REF!,H13)*12/pers_other_nrhours_year&gt;=pers_oi_minFTE)=TRUE,INDEX(#REF!,H13)/12,""))</f>
        <v/>
      </c>
      <c r="J13" s="90"/>
      <c r="K13" s="83" t="e">
        <f ca="1">IF(IFERROR(MATCH("*Non-scientific*",OFFSET(Budget!#REF!,K12,0,ROWS(#REF!),1),0)+K12,999)&lt;ROWS(#REF!),IFERROR(MATCH("*Non-scientific*",OFFSET(Budget!#REF!,K12,0,ROWS(#REF!),1),0)+K12,999),"")</f>
        <v>#REF!</v>
      </c>
      <c r="L13" s="70" t="str">
        <f ca="1">IFERROR(INDEX(#REF!,K13),"")</f>
        <v/>
      </c>
      <c r="M13" s="113"/>
      <c r="N13" s="83" t="e">
        <f ca="1">IF(IFERROR(MATCH("*leave*",OFFSET(Budget!#REF!,N12,0,ROWS(#REF!),1),0)+N12,999)&lt;ROWS(#REF!),IFERROR(MATCH("*leave*",OFFSET(Budget!#REF!,N12,0,ROWS(#REF!),1),0)+N12,999),"")</f>
        <v>#REF!</v>
      </c>
      <c r="O13" s="88" t="str">
        <f ca="1">IFERROR(INDEX(#REF!,N13)*INDEX(#REF!,N13),"")</f>
        <v/>
      </c>
      <c r="P13" s="113"/>
      <c r="Q13" s="83" t="e">
        <f ca="1">IF(MIN(IFERROR(MATCH("*PostDoc*",OFFSET(Budget!#REF!,Q12,0,ROWS(#REF!)-Q12,1),0)+Q12,999),IFERROR(MATCH("*PhD*",OFFSET(Budget!#REF!,Q12,0,ROWS(#REF!)-Q12,1),0)+Q12,999),IFERROR(MATCH("*PDEng*",OFFSET(Budget!#REF!,Q12,0,ROWS(#REF!)-Q12,1),0)+Q12,999),IFERROR(MATCH("*Doctorate*",OFFSET(Budget!#REF!,Q12,0,ROWS(#REF!)-Q12,1),0)+Q12,999))&lt;ROWS(#REF!),MIN(IFERROR(MATCH("*PostDoc*",OFFSET(Budget!#REF!,Q12,0,ROWS(#REF!)-Q12,1),0)+Q12,999),IFERROR(MATCH("*PhD*",OFFSET(Budget!#REF!,Q12,0,ROWS(#REF!)-Q12,1),0)+Q12,999),IFERROR(MATCH("*PDEng*",OFFSET(Budget!#REF!,Q12,0,ROWS(#REF!)-Q12,1),0)+Q12,999),IFERROR(MATCH("*Doctorate*",OFFSET(Budget!#REF!,Q12,0,ROWS(#REF!)-Q12,1),0)+Q12,999)),"")</f>
        <v>#REF!</v>
      </c>
      <c r="R13" s="113" t="str">
        <f ca="1">IFERROR(INDEX(#REF!,Q13),"")</f>
        <v/>
      </c>
      <c r="S13" s="113" t="str">
        <f ca="1">IFERROR(INDEX(#REF!,Q13),"")</f>
        <v/>
      </c>
      <c r="T13" s="113" t="str">
        <f ca="1">IFERROR(INDEX(#REF!,Q13),"")</f>
        <v/>
      </c>
      <c r="U13" s="113" t="str">
        <f ca="1">SUBSTITUTE(IFERROR(INDEX(#REF!,Q13),""),0,"")</f>
        <v/>
      </c>
      <c r="V13" s="132" t="str">
        <f ca="1">SUBSTITUTE(IFERROR(INDEX(#REF!,Q13),""),0,"")</f>
        <v/>
      </c>
      <c r="W13" s="113"/>
      <c r="X13" s="133" t="e">
        <f>IF(ROW(E1550)-ROW($E$1548)&lt;ROWS(#REF!),IFERROR(IF(INDEX(list_cofunders[private?],MATCH(Budget!#REF!,list_cofunders[list cofunders],0),1)="yes",Budget!#REF!,""),""),"")</f>
        <v>#REF!</v>
      </c>
      <c r="Y13" s="134" t="e">
        <f>IF(ROW(E1653)-ROW($E$1651)&lt;ROWS(#REF!),IFERROR(IF(INDEX(list_cofunders[private?],MATCH(Budget!#REF!,list_cofunders[list cofunders],0),1)="yes",Budget!#REF!,""),""),"")</f>
        <v>#REF!</v>
      </c>
      <c r="Z13" s="113" t="str">
        <f>IFERROR(INDEX(#REF!,X13),"")</f>
        <v/>
      </c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CZ13" s="22"/>
      <c r="DA13" s="22"/>
      <c r="DB13" s="22"/>
      <c r="DC13" s="22"/>
      <c r="DD13" s="22"/>
      <c r="DE13" s="22"/>
      <c r="DF13" s="22"/>
      <c r="DG13" s="22"/>
      <c r="DH13" s="22"/>
    </row>
    <row r="14" spans="1:112" s="21" customFormat="1" ht="11.25" customHeight="1" outlineLevel="1" x14ac:dyDescent="0.35">
      <c r="B14" s="83" t="e">
        <f ca="1">IF(IFERROR(MATCH("*Other*",OFFSET(Budget!#REF!,B13,0,ROWS(#REF!),1),0)+B13,999)&lt;ROWS(#REF!),IFERROR(MATCH("*Other*",OFFSET(Budget!#REF!,B13,0,ROWS(#REF!),1),0)+B13,999),"")</f>
        <v>#REF!</v>
      </c>
      <c r="C14" s="70" t="str">
        <f ca="1">IFERROR(INDEX(#REF!,B14),"")</f>
        <v/>
      </c>
      <c r="E14" s="83" t="e">
        <f ca="1">IF(MIN(IFERROR(MATCH("*PostDoc*",OFFSET(Budget!#REF!,E13,0,ROWS(#REF!),1),0)+E13,999),IFERROR(MATCH("*PhD*",OFFSET(Budget!#REF!,E13,0,ROWS(#REF!),1),0)+E13,999),IFERROR(MATCH("*PDEng*",OFFSET(Budget!#REF!,E13,0,ROWS(#REF!),1),0)+E13,999))&lt;ROWS(#REF!),MIN(IFERROR(MATCH("*PostDoc*",OFFSET(Budget!#REF!,E13,0,ROWS(#REF!),1),0)+E13,999),IFERROR(MATCH("*PhD*",OFFSET(Budget!#REF!,E13,0,ROWS(#REF!),1),0)+E13,999),IFERROR(MATCH("*PDEng*",OFFSET(Budget!#REF!,E13,0,ROWS(#REF!),1),0)+E13,999)),"")</f>
        <v>#REF!</v>
      </c>
      <c r="F14" s="74" t="str">
        <f ca="1">IFERROR(INDEX(#REF!,E14)*INDEX(#REF!,E14)/12,"")</f>
        <v/>
      </c>
      <c r="G14" s="90"/>
      <c r="H14" s="83" t="e">
        <f ca="1">IF(IFERROR(MATCH("*researcher*",OFFSET(Budget!#REF!,H13,0,ROWS(#REF!),1),0)+H13,999)&lt;ROWS(#REF!),IFERROR(MATCH("*researcher*",OFFSET(Budget!#REF!,H13,0,ROWS(#REF!),1),0)+H13,999),"")</f>
        <v>#REF!</v>
      </c>
      <c r="I14" s="74" t="str">
        <f ca="1">IF(ISERROR(IF(AND(INDEX(#REF!,H14)&gt;=pers_oi_min_months,INDEX(#REF!,H14)/INDEX(#REF!,H14)*12/pers_other_nrhours_year&gt;=pers_oi_minFTE)=TRUE,INDEX(#REF!,H14)/12,0)),"",IF(AND(INDEX(#REF!,H14)&gt;=pers_oi_min_months,INDEX(#REF!,H14)/INDEX(#REF!,H14)*12/pers_other_nrhours_year&gt;=pers_oi_minFTE)=TRUE,INDEX(#REF!,H14)/12,""))</f>
        <v/>
      </c>
      <c r="J14" s="90"/>
      <c r="K14" s="83" t="e">
        <f ca="1">IF(IFERROR(MATCH("*Non-scientific*",OFFSET(Budget!#REF!,K13,0,ROWS(#REF!),1),0)+K13,999)&lt;ROWS(#REF!),IFERROR(MATCH("*Non-scientific*",OFFSET(Budget!#REF!,K13,0,ROWS(#REF!),1),0)+K13,999),"")</f>
        <v>#REF!</v>
      </c>
      <c r="L14" s="70" t="str">
        <f ca="1">IFERROR(INDEX(#REF!,K14),"")</f>
        <v/>
      </c>
      <c r="M14" s="113"/>
      <c r="N14" s="83" t="e">
        <f ca="1">IF(IFERROR(MATCH("*leave*",OFFSET(Budget!#REF!,N13,0,ROWS(#REF!),1),0)+N13,999)&lt;ROWS(#REF!),IFERROR(MATCH("*leave*",OFFSET(Budget!#REF!,N13,0,ROWS(#REF!),1),0)+N13,999),"")</f>
        <v>#REF!</v>
      </c>
      <c r="O14" s="88" t="str">
        <f ca="1">IFERROR(INDEX(#REF!,N14)*INDEX(#REF!,N14),"")</f>
        <v/>
      </c>
      <c r="P14" s="113"/>
      <c r="Q14" s="83" t="e">
        <f ca="1">IF(MIN(IFERROR(MATCH("*PostDoc*",OFFSET(Budget!#REF!,Q13,0,ROWS(#REF!)-Q13,1),0)+Q13,999),IFERROR(MATCH("*PhD*",OFFSET(Budget!#REF!,Q13,0,ROWS(#REF!)-Q13,1),0)+Q13,999),IFERROR(MATCH("*PDEng*",OFFSET(Budget!#REF!,Q13,0,ROWS(#REF!)-Q13,1),0)+Q13,999),IFERROR(MATCH("*Doctorate*",OFFSET(Budget!#REF!,Q13,0,ROWS(#REF!)-Q13,1),0)+Q13,999))&lt;ROWS(#REF!),MIN(IFERROR(MATCH("*PostDoc*",OFFSET(Budget!#REF!,Q13,0,ROWS(#REF!)-Q13,1),0)+Q13,999),IFERROR(MATCH("*PhD*",OFFSET(Budget!#REF!,Q13,0,ROWS(#REF!)-Q13,1),0)+Q13,999),IFERROR(MATCH("*PDEng*",OFFSET(Budget!#REF!,Q13,0,ROWS(#REF!)-Q13,1),0)+Q13,999),IFERROR(MATCH("*Doctorate*",OFFSET(Budget!#REF!,Q13,0,ROWS(#REF!)-Q13,1),0)+Q13,999)),"")</f>
        <v>#REF!</v>
      </c>
      <c r="R14" s="113" t="str">
        <f ca="1">IFERROR(INDEX(#REF!,Q14),"")</f>
        <v/>
      </c>
      <c r="S14" s="113" t="str">
        <f ca="1">IFERROR(INDEX(#REF!,Q14),"")</f>
        <v/>
      </c>
      <c r="T14" s="113" t="str">
        <f ca="1">IFERROR(INDEX(#REF!,Q14),"")</f>
        <v/>
      </c>
      <c r="U14" s="113" t="str">
        <f ca="1">SUBSTITUTE(IFERROR(INDEX(#REF!,Q14),""),0,"")</f>
        <v/>
      </c>
      <c r="V14" s="132" t="str">
        <f ca="1">SUBSTITUTE(IFERROR(INDEX(#REF!,Q14),""),0,"")</f>
        <v/>
      </c>
      <c r="W14" s="113"/>
      <c r="X14" s="133" t="e">
        <f>IF(ROW(E1551)-ROW($E$1548)&lt;ROWS(#REF!),IFERROR(IF(INDEX(list_cofunders[private?],MATCH(Budget!#REF!,list_cofunders[list cofunders],0),1)="yes",Budget!#REF!,""),""),"")</f>
        <v>#REF!</v>
      </c>
      <c r="Y14" s="134" t="e">
        <f>IF(ROW(E1654)-ROW($E$1651)&lt;ROWS(#REF!),IFERROR(IF(INDEX(list_cofunders[private?],MATCH(Budget!#REF!,list_cofunders[list cofunders],0),1)="yes",Budget!#REF!,""),""),"")</f>
        <v>#REF!</v>
      </c>
      <c r="Z14" s="113" t="str">
        <f>IFERROR(INDEX(#REF!,X14),"")</f>
        <v/>
      </c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CZ14" s="22"/>
      <c r="DA14" s="22"/>
      <c r="DB14" s="22"/>
      <c r="DC14" s="22"/>
      <c r="DD14" s="22"/>
      <c r="DE14" s="22"/>
      <c r="DF14" s="22"/>
      <c r="DG14" s="22"/>
      <c r="DH14" s="22"/>
    </row>
    <row r="15" spans="1:112" s="21" customFormat="1" ht="11.25" customHeight="1" outlineLevel="1" x14ac:dyDescent="0.35">
      <c r="B15" s="83" t="e">
        <f ca="1">IF(IFERROR(MATCH("*Other*",OFFSET(Budget!#REF!,B14,0,ROWS(#REF!),1),0)+B14,999)&lt;ROWS(#REF!),IFERROR(MATCH("*Other*",OFFSET(Budget!#REF!,B14,0,ROWS(#REF!),1),0)+B14,999),"")</f>
        <v>#REF!</v>
      </c>
      <c r="C15" s="70" t="str">
        <f ca="1">IFERROR(INDEX(#REF!,B15),"")</f>
        <v/>
      </c>
      <c r="E15" s="83" t="e">
        <f ca="1">IF(MIN(IFERROR(MATCH("*PostDoc*",OFFSET(Budget!#REF!,E14,0,ROWS(#REF!),1),0)+E14,999),IFERROR(MATCH("*PhD*",OFFSET(Budget!#REF!,E14,0,ROWS(#REF!),1),0)+E14,999),IFERROR(MATCH("*PDEng*",OFFSET(Budget!#REF!,E14,0,ROWS(#REF!),1),0)+E14,999))&lt;ROWS(#REF!),MIN(IFERROR(MATCH("*PostDoc*",OFFSET(Budget!#REF!,E14,0,ROWS(#REF!),1),0)+E14,999),IFERROR(MATCH("*PhD*",OFFSET(Budget!#REF!,E14,0,ROWS(#REF!),1),0)+E14,999),IFERROR(MATCH("*PDEng*",OFFSET(Budget!#REF!,E14,0,ROWS(#REF!),1),0)+E14,999)),"")</f>
        <v>#REF!</v>
      </c>
      <c r="F15" s="74" t="str">
        <f ca="1">IFERROR(INDEX(#REF!,E15)*INDEX(#REF!,E15)/12,"")</f>
        <v/>
      </c>
      <c r="G15" s="90"/>
      <c r="H15" s="83" t="e">
        <f ca="1">IF(IFERROR(MATCH("*researcher*",OFFSET(Budget!#REF!,H14,0,ROWS(#REF!),1),0)+H14,999)&lt;ROWS(#REF!),IFERROR(MATCH("*researcher*",OFFSET(Budget!#REF!,H14,0,ROWS(#REF!),1),0)+H14,999),"")</f>
        <v>#REF!</v>
      </c>
      <c r="I15" s="74" t="str">
        <f ca="1">IF(ISERROR(IF(AND(INDEX(#REF!,H15)&gt;=pers_oi_min_months,INDEX(#REF!,H15)/INDEX(#REF!,H15)*12/pers_other_nrhours_year&gt;=pers_oi_minFTE)=TRUE,INDEX(#REF!,H15)/12,0)),"",IF(AND(INDEX(#REF!,H15)&gt;=pers_oi_min_months,INDEX(#REF!,H15)/INDEX(#REF!,H15)*12/pers_other_nrhours_year&gt;=pers_oi_minFTE)=TRUE,INDEX(#REF!,H15)/12,""))</f>
        <v/>
      </c>
      <c r="J15" s="90"/>
      <c r="K15" s="83" t="e">
        <f ca="1">IF(IFERROR(MATCH("*Non-scientific*",OFFSET(Budget!#REF!,K14,0,ROWS(#REF!),1),0)+K14,999)&lt;ROWS(#REF!),IFERROR(MATCH("*Non-scientific*",OFFSET(Budget!#REF!,K14,0,ROWS(#REF!),1),0)+K14,999),"")</f>
        <v>#REF!</v>
      </c>
      <c r="L15" s="70" t="str">
        <f ca="1">IFERROR(INDEX(#REF!,K15),"")</f>
        <v/>
      </c>
      <c r="M15" s="113"/>
      <c r="N15" s="83" t="e">
        <f ca="1">IF(IFERROR(MATCH("*leave*",OFFSET(Budget!#REF!,N14,0,ROWS(#REF!),1),0)+N14,999)&lt;ROWS(#REF!),IFERROR(MATCH("*leave*",OFFSET(Budget!#REF!,N14,0,ROWS(#REF!),1),0)+N14,999),"")</f>
        <v>#REF!</v>
      </c>
      <c r="O15" s="88" t="str">
        <f ca="1">IFERROR(INDEX(#REF!,N15)*INDEX(#REF!,N15),"")</f>
        <v/>
      </c>
      <c r="P15" s="113"/>
      <c r="Q15" s="83" t="e">
        <f ca="1">IF(MIN(IFERROR(MATCH("*PostDoc*",OFFSET(Budget!#REF!,Q14,0,ROWS(#REF!)-Q14,1),0)+Q14,999),IFERROR(MATCH("*PhD*",OFFSET(Budget!#REF!,Q14,0,ROWS(#REF!)-Q14,1),0)+Q14,999),IFERROR(MATCH("*PDEng*",OFFSET(Budget!#REF!,Q14,0,ROWS(#REF!)-Q14,1),0)+Q14,999),IFERROR(MATCH("*Doctorate*",OFFSET(Budget!#REF!,Q14,0,ROWS(#REF!)-Q14,1),0)+Q14,999))&lt;ROWS(#REF!),MIN(IFERROR(MATCH("*PostDoc*",OFFSET(Budget!#REF!,Q14,0,ROWS(#REF!)-Q14,1),0)+Q14,999),IFERROR(MATCH("*PhD*",OFFSET(Budget!#REF!,Q14,0,ROWS(#REF!)-Q14,1),0)+Q14,999),IFERROR(MATCH("*PDEng*",OFFSET(Budget!#REF!,Q14,0,ROWS(#REF!)-Q14,1),0)+Q14,999),IFERROR(MATCH("*Doctorate*",OFFSET(Budget!#REF!,Q14,0,ROWS(#REF!)-Q14,1),0)+Q14,999)),"")</f>
        <v>#REF!</v>
      </c>
      <c r="R15" s="113" t="str">
        <f ca="1">IFERROR(INDEX(#REF!,Q15),"")</f>
        <v/>
      </c>
      <c r="S15" s="113" t="str">
        <f ca="1">IFERROR(INDEX(#REF!,Q15),"")</f>
        <v/>
      </c>
      <c r="T15" s="113" t="str">
        <f ca="1">IFERROR(INDEX(#REF!,Q15),"")</f>
        <v/>
      </c>
      <c r="U15" s="113" t="str">
        <f ca="1">SUBSTITUTE(IFERROR(INDEX(#REF!,Q15),""),0,"")</f>
        <v/>
      </c>
      <c r="V15" s="132" t="str">
        <f ca="1">SUBSTITUTE(IFERROR(INDEX(#REF!,Q15),""),0,"")</f>
        <v/>
      </c>
      <c r="W15" s="113"/>
      <c r="X15" s="133" t="e">
        <f>IF(ROW(E1552)-ROW($E$1548)&lt;ROWS(#REF!),IFERROR(IF(INDEX(list_cofunders[private?],MATCH(Budget!#REF!,list_cofunders[list cofunders],0),1)="yes",Budget!#REF!,""),""),"")</f>
        <v>#REF!</v>
      </c>
      <c r="Y15" s="134" t="e">
        <f>IF(ROW(E1655)-ROW($E$1651)&lt;ROWS(#REF!),IFERROR(IF(INDEX(list_cofunders[private?],MATCH(Budget!#REF!,list_cofunders[list cofunders],0),1)="yes",Budget!#REF!,""),""),"")</f>
        <v>#REF!</v>
      </c>
      <c r="Z15" s="113" t="str">
        <f>IFERROR(INDEX(#REF!,X15),"")</f>
        <v/>
      </c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CZ15" s="22"/>
      <c r="DA15" s="22"/>
      <c r="DB15" s="22"/>
      <c r="DC15" s="22"/>
      <c r="DD15" s="22"/>
      <c r="DE15" s="22"/>
      <c r="DF15" s="22"/>
      <c r="DG15" s="22"/>
      <c r="DH15" s="22"/>
    </row>
    <row r="16" spans="1:112" s="21" customFormat="1" ht="11.25" customHeight="1" outlineLevel="1" x14ac:dyDescent="0.35">
      <c r="B16" s="83" t="e">
        <f ca="1">IF(IFERROR(MATCH("*Other*",OFFSET(Budget!#REF!,B15,0,ROWS(#REF!),1),0)+B15,999)&lt;ROWS(#REF!),IFERROR(MATCH("*Other*",OFFSET(Budget!#REF!,B15,0,ROWS(#REF!),1),0)+B15,999),"")</f>
        <v>#REF!</v>
      </c>
      <c r="C16" s="70" t="str">
        <f ca="1">IFERROR(INDEX(#REF!,B16),"")</f>
        <v/>
      </c>
      <c r="E16" s="83" t="e">
        <f ca="1">IF(MIN(IFERROR(MATCH("*PostDoc*",OFFSET(Budget!#REF!,E15,0,ROWS(#REF!),1),0)+E15,999),IFERROR(MATCH("*PhD*",OFFSET(Budget!#REF!,E15,0,ROWS(#REF!),1),0)+E15,999),IFERROR(MATCH("*PDEng*",OFFSET(Budget!#REF!,E15,0,ROWS(#REF!),1),0)+E15,999))&lt;ROWS(#REF!),MIN(IFERROR(MATCH("*PostDoc*",OFFSET(Budget!#REF!,E15,0,ROWS(#REF!),1),0)+E15,999),IFERROR(MATCH("*PhD*",OFFSET(Budget!#REF!,E15,0,ROWS(#REF!),1),0)+E15,999),IFERROR(MATCH("*PDEng*",OFFSET(Budget!#REF!,E15,0,ROWS(#REF!),1),0)+E15,999)),"")</f>
        <v>#REF!</v>
      </c>
      <c r="F16" s="74" t="str">
        <f ca="1">IFERROR(INDEX(#REF!,E16)*INDEX(#REF!,E16)/12,"")</f>
        <v/>
      </c>
      <c r="G16" s="90"/>
      <c r="H16" s="83" t="e">
        <f ca="1">IF(IFERROR(MATCH("*researcher*",OFFSET(Budget!#REF!,H15,0,ROWS(#REF!),1),0)+H15,999)&lt;ROWS(#REF!),IFERROR(MATCH("*researcher*",OFFSET(Budget!#REF!,H15,0,ROWS(#REF!),1),0)+H15,999),"")</f>
        <v>#REF!</v>
      </c>
      <c r="I16" s="74" t="str">
        <f ca="1">IF(ISERROR(IF(AND(INDEX(#REF!,H16)&gt;=pers_oi_min_months,INDEX(#REF!,H16)/INDEX(#REF!,H16)*12/pers_other_nrhours_year&gt;=pers_oi_minFTE)=TRUE,INDEX(#REF!,H16)/12,0)),"",IF(AND(INDEX(#REF!,H16)&gt;=pers_oi_min_months,INDEX(#REF!,H16)/INDEX(#REF!,H16)*12/pers_other_nrhours_year&gt;=pers_oi_minFTE)=TRUE,INDEX(#REF!,H16)/12,""))</f>
        <v/>
      </c>
      <c r="J16" s="90"/>
      <c r="K16" s="83" t="e">
        <f ca="1">IF(IFERROR(MATCH("*Non-scientific*",OFFSET(Budget!#REF!,K15,0,ROWS(#REF!),1),0)+K15,999)&lt;ROWS(#REF!),IFERROR(MATCH("*Non-scientific*",OFFSET(Budget!#REF!,K15,0,ROWS(#REF!),1),0)+K15,999),"")</f>
        <v>#REF!</v>
      </c>
      <c r="L16" s="70" t="str">
        <f ca="1">IFERROR(INDEX(#REF!,K16),"")</f>
        <v/>
      </c>
      <c r="M16" s="113"/>
      <c r="N16" s="83" t="e">
        <f ca="1">IF(IFERROR(MATCH("*leave*",OFFSET(Budget!#REF!,N15,0,ROWS(#REF!),1),0)+N15,999)&lt;ROWS(#REF!),IFERROR(MATCH("*leave*",OFFSET(Budget!#REF!,N15,0,ROWS(#REF!),1),0)+N15,999),"")</f>
        <v>#REF!</v>
      </c>
      <c r="O16" s="88" t="str">
        <f ca="1">IFERROR(INDEX(#REF!,N16)*INDEX(#REF!,N16),"")</f>
        <v/>
      </c>
      <c r="P16" s="113"/>
      <c r="Q16" s="83" t="e">
        <f ca="1">IF(MIN(IFERROR(MATCH("*PostDoc*",OFFSET(Budget!#REF!,Q15,0,ROWS(#REF!)-Q15,1),0)+Q15,999),IFERROR(MATCH("*PhD*",OFFSET(Budget!#REF!,Q15,0,ROWS(#REF!)-Q15,1),0)+Q15,999),IFERROR(MATCH("*PDEng*",OFFSET(Budget!#REF!,Q15,0,ROWS(#REF!)-Q15,1),0)+Q15,999),IFERROR(MATCH("*Doctorate*",OFFSET(Budget!#REF!,Q15,0,ROWS(#REF!)-Q15,1),0)+Q15,999))&lt;ROWS(#REF!),MIN(IFERROR(MATCH("*PostDoc*",OFFSET(Budget!#REF!,Q15,0,ROWS(#REF!)-Q15,1),0)+Q15,999),IFERROR(MATCH("*PhD*",OFFSET(Budget!#REF!,Q15,0,ROWS(#REF!)-Q15,1),0)+Q15,999),IFERROR(MATCH("*PDEng*",OFFSET(Budget!#REF!,Q15,0,ROWS(#REF!)-Q15,1),0)+Q15,999),IFERROR(MATCH("*Doctorate*",OFFSET(Budget!#REF!,Q15,0,ROWS(#REF!)-Q15,1),0)+Q15,999)),"")</f>
        <v>#REF!</v>
      </c>
      <c r="R16" s="113" t="str">
        <f ca="1">IFERROR(INDEX(#REF!,Q16),"")</f>
        <v/>
      </c>
      <c r="S16" s="113" t="str">
        <f ca="1">IFERROR(INDEX(#REF!,Q16),"")</f>
        <v/>
      </c>
      <c r="T16" s="113" t="str">
        <f ca="1">IFERROR(INDEX(#REF!,Q16),"")</f>
        <v/>
      </c>
      <c r="U16" s="113" t="str">
        <f ca="1">SUBSTITUTE(IFERROR(INDEX(#REF!,Q16),""),0,"")</f>
        <v/>
      </c>
      <c r="V16" s="132" t="str">
        <f ca="1">SUBSTITUTE(IFERROR(INDEX(#REF!,Q16),""),0,"")</f>
        <v/>
      </c>
      <c r="W16" s="113"/>
      <c r="X16" s="133" t="e">
        <f>IF(ROW(E1553)-ROW($E$1548)&lt;ROWS(#REF!),IFERROR(IF(INDEX(list_cofunders[private?],MATCH(Budget!#REF!,list_cofunders[list cofunders],0),1)="yes",Budget!#REF!,""),""),"")</f>
        <v>#REF!</v>
      </c>
      <c r="Y16" s="134" t="e">
        <f>IF(ROW(E1656)-ROW($E$1651)&lt;ROWS(#REF!),IFERROR(IF(INDEX(list_cofunders[private?],MATCH(Budget!#REF!,list_cofunders[list cofunders],0),1)="yes",Budget!#REF!,""),""),"")</f>
        <v>#REF!</v>
      </c>
      <c r="Z16" s="113" t="str">
        <f>IFERROR(INDEX(#REF!,X16),"")</f>
        <v/>
      </c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CZ16" s="22"/>
      <c r="DA16" s="22"/>
      <c r="DB16" s="22"/>
      <c r="DC16" s="22"/>
      <c r="DD16" s="22"/>
      <c r="DE16" s="22"/>
      <c r="DF16" s="22"/>
      <c r="DG16" s="22"/>
      <c r="DH16" s="22"/>
    </row>
    <row r="17" spans="2:112" s="21" customFormat="1" ht="11.25" customHeight="1" outlineLevel="1" x14ac:dyDescent="0.35">
      <c r="B17" s="83" t="e">
        <f ca="1">IF(IFERROR(MATCH("*Other*",OFFSET(Budget!#REF!,B16,0,ROWS(#REF!),1),0)+B16,999)&lt;ROWS(#REF!),IFERROR(MATCH("*Other*",OFFSET(Budget!#REF!,B16,0,ROWS(#REF!),1),0)+B16,999),"")</f>
        <v>#REF!</v>
      </c>
      <c r="C17" s="70" t="str">
        <f ca="1">IFERROR(INDEX(#REF!,B17),"")</f>
        <v/>
      </c>
      <c r="E17" s="83" t="e">
        <f ca="1">IF(MIN(IFERROR(MATCH("*PostDoc*",OFFSET(Budget!#REF!,E16,0,ROWS(#REF!),1),0)+E16,999),IFERROR(MATCH("*PhD*",OFFSET(Budget!#REF!,E16,0,ROWS(#REF!),1),0)+E16,999),IFERROR(MATCH("*PDEng*",OFFSET(Budget!#REF!,E16,0,ROWS(#REF!),1),0)+E16,999))&lt;ROWS(#REF!),MIN(IFERROR(MATCH("*PostDoc*",OFFSET(Budget!#REF!,E16,0,ROWS(#REF!),1),0)+E16,999),IFERROR(MATCH("*PhD*",OFFSET(Budget!#REF!,E16,0,ROWS(#REF!),1),0)+E16,999),IFERROR(MATCH("*PDEng*",OFFSET(Budget!#REF!,E16,0,ROWS(#REF!),1),0)+E16,999)),"")</f>
        <v>#REF!</v>
      </c>
      <c r="F17" s="74" t="str">
        <f ca="1">IFERROR(INDEX(#REF!,E17)*INDEX(#REF!,E17)/12,"")</f>
        <v/>
      </c>
      <c r="G17" s="90"/>
      <c r="H17" s="83" t="e">
        <f ca="1">IF(IFERROR(MATCH("*researcher*",OFFSET(Budget!#REF!,H16,0,ROWS(#REF!),1),0)+H16,999)&lt;ROWS(#REF!),IFERROR(MATCH("*researcher*",OFFSET(Budget!#REF!,H16,0,ROWS(#REF!),1),0)+H16,999),"")</f>
        <v>#REF!</v>
      </c>
      <c r="I17" s="74" t="str">
        <f ca="1">IF(ISERROR(IF(AND(INDEX(#REF!,H17)&gt;=pers_oi_min_months,INDEX(#REF!,H17)/INDEX(#REF!,H17)*12/pers_other_nrhours_year&gt;=pers_oi_minFTE)=TRUE,INDEX(#REF!,H17)/12,0)),"",IF(AND(INDEX(#REF!,H17)&gt;=pers_oi_min_months,INDEX(#REF!,H17)/INDEX(#REF!,H17)*12/pers_other_nrhours_year&gt;=pers_oi_minFTE)=TRUE,INDEX(#REF!,H17)/12,""))</f>
        <v/>
      </c>
      <c r="J17" s="90"/>
      <c r="K17" s="83" t="e">
        <f ca="1">IF(IFERROR(MATCH("*Non-scientific*",OFFSET(Budget!#REF!,K16,0,ROWS(#REF!),1),0)+K16,999)&lt;ROWS(#REF!),IFERROR(MATCH("*Non-scientific*",OFFSET(Budget!#REF!,K16,0,ROWS(#REF!),1),0)+K16,999),"")</f>
        <v>#REF!</v>
      </c>
      <c r="L17" s="70" t="str">
        <f ca="1">IFERROR(INDEX(#REF!,K17),"")</f>
        <v/>
      </c>
      <c r="M17" s="113"/>
      <c r="N17" s="83" t="e">
        <f ca="1">IF(IFERROR(MATCH("*leave*",OFFSET(Budget!#REF!,N16,0,ROWS(#REF!),1),0)+N16,999)&lt;ROWS(#REF!),IFERROR(MATCH("*leave*",OFFSET(Budget!#REF!,N16,0,ROWS(#REF!),1),0)+N16,999),"")</f>
        <v>#REF!</v>
      </c>
      <c r="O17" s="88" t="str">
        <f ca="1">IFERROR(INDEX(#REF!,N17)*INDEX(#REF!,N17),"")</f>
        <v/>
      </c>
      <c r="P17" s="113"/>
      <c r="Q17" s="83" t="e">
        <f ca="1">IF(MIN(IFERROR(MATCH("*PostDoc*",OFFSET(Budget!#REF!,Q16,0,ROWS(#REF!)-Q16,1),0)+Q16,999),IFERROR(MATCH("*PhD*",OFFSET(Budget!#REF!,Q16,0,ROWS(#REF!)-Q16,1),0)+Q16,999),IFERROR(MATCH("*PDEng*",OFFSET(Budget!#REF!,Q16,0,ROWS(#REF!)-Q16,1),0)+Q16,999),IFERROR(MATCH("*Doctorate*",OFFSET(Budget!#REF!,Q16,0,ROWS(#REF!)-Q16,1),0)+Q16,999))&lt;ROWS(#REF!),MIN(IFERROR(MATCH("*PostDoc*",OFFSET(Budget!#REF!,Q16,0,ROWS(#REF!)-Q16,1),0)+Q16,999),IFERROR(MATCH("*PhD*",OFFSET(Budget!#REF!,Q16,0,ROWS(#REF!)-Q16,1),0)+Q16,999),IFERROR(MATCH("*PDEng*",OFFSET(Budget!#REF!,Q16,0,ROWS(#REF!)-Q16,1),0)+Q16,999),IFERROR(MATCH("*Doctorate*",OFFSET(Budget!#REF!,Q16,0,ROWS(#REF!)-Q16,1),0)+Q16,999)),"")</f>
        <v>#REF!</v>
      </c>
      <c r="R17" s="113" t="str">
        <f ca="1">IFERROR(INDEX(#REF!,Q17),"")</f>
        <v/>
      </c>
      <c r="S17" s="113" t="str">
        <f ca="1">IFERROR(INDEX(#REF!,Q17),"")</f>
        <v/>
      </c>
      <c r="T17" s="113" t="str">
        <f ca="1">IFERROR(INDEX(#REF!,Q17),"")</f>
        <v/>
      </c>
      <c r="U17" s="113" t="str">
        <f ca="1">SUBSTITUTE(IFERROR(INDEX(#REF!,Q17),""),0,"")</f>
        <v/>
      </c>
      <c r="V17" s="132" t="str">
        <f ca="1">SUBSTITUTE(IFERROR(INDEX(#REF!,Q17),""),0,"")</f>
        <v/>
      </c>
      <c r="W17" s="113"/>
      <c r="X17" s="133" t="e">
        <f>IF(ROW(E1554)-ROW($E$1548)&lt;ROWS(#REF!),IFERROR(IF(INDEX(list_cofunders[private?],MATCH(Budget!#REF!,list_cofunders[list cofunders],0),1)="yes",Budget!#REF!,""),""),"")</f>
        <v>#REF!</v>
      </c>
      <c r="Y17" s="134" t="e">
        <f>IF(ROW(E1657)-ROW($E$1651)&lt;ROWS(#REF!),IFERROR(IF(INDEX(list_cofunders[private?],MATCH(Budget!#REF!,list_cofunders[list cofunders],0),1)="yes",Budget!#REF!,""),""),"")</f>
        <v>#REF!</v>
      </c>
      <c r="Z17" s="113" t="str">
        <f>IFERROR(INDEX(#REF!,X17),"")</f>
        <v/>
      </c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CZ17" s="22"/>
      <c r="DA17" s="22"/>
      <c r="DB17" s="22"/>
      <c r="DC17" s="22"/>
      <c r="DD17" s="22"/>
      <c r="DE17" s="22"/>
      <c r="DF17" s="22"/>
      <c r="DG17" s="22"/>
      <c r="DH17" s="22"/>
    </row>
    <row r="18" spans="2:112" s="21" customFormat="1" ht="11.25" customHeight="1" outlineLevel="1" x14ac:dyDescent="0.35">
      <c r="B18" s="83" t="e">
        <f ca="1">IF(IFERROR(MATCH("*Other*",OFFSET(Budget!#REF!,B17,0,ROWS(#REF!),1),0)+B17,999)&lt;ROWS(#REF!),IFERROR(MATCH("*Other*",OFFSET(Budget!#REF!,B17,0,ROWS(#REF!),1),0)+B17,999),"")</f>
        <v>#REF!</v>
      </c>
      <c r="C18" s="70" t="str">
        <f ca="1">IFERROR(INDEX(#REF!,B18),"")</f>
        <v/>
      </c>
      <c r="E18" s="83" t="e">
        <f ca="1">IF(MIN(IFERROR(MATCH("*PostDoc*",OFFSET(Budget!#REF!,E17,0,ROWS(#REF!),1),0)+E17,999),IFERROR(MATCH("*PhD*",OFFSET(Budget!#REF!,E17,0,ROWS(#REF!),1),0)+E17,999),IFERROR(MATCH("*PDEng*",OFFSET(Budget!#REF!,E17,0,ROWS(#REF!),1),0)+E17,999))&lt;ROWS(#REF!),MIN(IFERROR(MATCH("*PostDoc*",OFFSET(Budget!#REF!,E17,0,ROWS(#REF!),1),0)+E17,999),IFERROR(MATCH("*PhD*",OFFSET(Budget!#REF!,E17,0,ROWS(#REF!),1),0)+E17,999),IFERROR(MATCH("*PDEng*",OFFSET(Budget!#REF!,E17,0,ROWS(#REF!),1),0)+E17,999)),"")</f>
        <v>#REF!</v>
      </c>
      <c r="F18" s="74" t="str">
        <f ca="1">IFERROR(INDEX(#REF!,E18)*INDEX(#REF!,E18)/12,"")</f>
        <v/>
      </c>
      <c r="G18" s="90"/>
      <c r="H18" s="83" t="e">
        <f ca="1">IF(IFERROR(MATCH("*researcher*",OFFSET(Budget!#REF!,H17,0,ROWS(#REF!),1),0)+H17,999)&lt;ROWS(#REF!),IFERROR(MATCH("*researcher*",OFFSET(Budget!#REF!,H17,0,ROWS(#REF!),1),0)+H17,999),"")</f>
        <v>#REF!</v>
      </c>
      <c r="I18" s="74" t="str">
        <f ca="1">IF(ISERROR(IF(AND(INDEX(#REF!,H18)&gt;=pers_oi_min_months,INDEX(#REF!,H18)/INDEX(#REF!,H18)*12/pers_other_nrhours_year&gt;=pers_oi_minFTE)=TRUE,INDEX(#REF!,H18)/12,0)),"",IF(AND(INDEX(#REF!,H18)&gt;=pers_oi_min_months,INDEX(#REF!,H18)/INDEX(#REF!,H18)*12/pers_other_nrhours_year&gt;=pers_oi_minFTE)=TRUE,INDEX(#REF!,H18)/12,""))</f>
        <v/>
      </c>
      <c r="J18" s="90"/>
      <c r="K18" s="83" t="e">
        <f ca="1">IF(IFERROR(MATCH("*Non-scientific*",OFFSET(Budget!#REF!,K17,0,ROWS(#REF!),1),0)+K17,999)&lt;ROWS(#REF!),IFERROR(MATCH("*Non-scientific*",OFFSET(Budget!#REF!,K17,0,ROWS(#REF!),1),0)+K17,999),"")</f>
        <v>#REF!</v>
      </c>
      <c r="L18" s="70" t="str">
        <f ca="1">IFERROR(INDEX(#REF!,K18),"")</f>
        <v/>
      </c>
      <c r="M18" s="113"/>
      <c r="N18" s="83" t="e">
        <f ca="1">IF(IFERROR(MATCH("*leave*",OFFSET(Budget!#REF!,N17,0,ROWS(#REF!),1),0)+N17,999)&lt;ROWS(#REF!),IFERROR(MATCH("*leave*",OFFSET(Budget!#REF!,N17,0,ROWS(#REF!),1),0)+N17,999),"")</f>
        <v>#REF!</v>
      </c>
      <c r="O18" s="88" t="str">
        <f ca="1">IFERROR(INDEX(#REF!,N18)*INDEX(#REF!,N18),"")</f>
        <v/>
      </c>
      <c r="P18" s="113"/>
      <c r="Q18" s="83" t="e">
        <f ca="1">IF(MIN(IFERROR(MATCH("*PostDoc*",OFFSET(Budget!#REF!,Q17,0,ROWS(#REF!)-Q17,1),0)+Q17,999),IFERROR(MATCH("*PhD*",OFFSET(Budget!#REF!,Q17,0,ROWS(#REF!)-Q17,1),0)+Q17,999),IFERROR(MATCH("*PDEng*",OFFSET(Budget!#REF!,Q17,0,ROWS(#REF!)-Q17,1),0)+Q17,999),IFERROR(MATCH("*Doctorate*",OFFSET(Budget!#REF!,Q17,0,ROWS(#REF!)-Q17,1),0)+Q17,999))&lt;ROWS(#REF!),MIN(IFERROR(MATCH("*PostDoc*",OFFSET(Budget!#REF!,Q17,0,ROWS(#REF!)-Q17,1),0)+Q17,999),IFERROR(MATCH("*PhD*",OFFSET(Budget!#REF!,Q17,0,ROWS(#REF!)-Q17,1),0)+Q17,999),IFERROR(MATCH("*PDEng*",OFFSET(Budget!#REF!,Q17,0,ROWS(#REF!)-Q17,1),0)+Q17,999),IFERROR(MATCH("*Doctorate*",OFFSET(Budget!#REF!,Q17,0,ROWS(#REF!)-Q17,1),0)+Q17,999)),"")</f>
        <v>#REF!</v>
      </c>
      <c r="R18" s="113" t="str">
        <f ca="1">IFERROR(INDEX(#REF!,Q18),"")</f>
        <v/>
      </c>
      <c r="S18" s="113" t="str">
        <f ca="1">IFERROR(INDEX(#REF!,Q18),"")</f>
        <v/>
      </c>
      <c r="T18" s="113" t="str">
        <f ca="1">IFERROR(INDEX(#REF!,Q18),"")</f>
        <v/>
      </c>
      <c r="U18" s="113" t="str">
        <f ca="1">SUBSTITUTE(IFERROR(INDEX(#REF!,Q18),""),0,"")</f>
        <v/>
      </c>
      <c r="V18" s="132" t="str">
        <f ca="1">SUBSTITUTE(IFERROR(INDEX(#REF!,Q18),""),0,"")</f>
        <v/>
      </c>
      <c r="W18" s="113"/>
      <c r="X18" s="133" t="e">
        <f>IF(ROW(E1555)-ROW($E$1548)&lt;ROWS(#REF!),IFERROR(IF(INDEX(list_cofunders[private?],MATCH(Budget!#REF!,list_cofunders[list cofunders],0),1)="yes",Budget!#REF!,""),""),"")</f>
        <v>#REF!</v>
      </c>
      <c r="Y18" s="134" t="e">
        <f>IF(ROW(E1658)-ROW($E$1651)&lt;ROWS(#REF!),IFERROR(IF(INDEX(list_cofunders[private?],MATCH(Budget!#REF!,list_cofunders[list cofunders],0),1)="yes",Budget!#REF!,""),""),"")</f>
        <v>#REF!</v>
      </c>
      <c r="Z18" s="113" t="str">
        <f>IFERROR(INDEX(#REF!,X18),"")</f>
        <v/>
      </c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CZ18" s="22"/>
      <c r="DA18" s="22"/>
      <c r="DB18" s="22"/>
      <c r="DC18" s="22"/>
      <c r="DD18" s="22"/>
      <c r="DE18" s="22"/>
      <c r="DF18" s="22"/>
      <c r="DG18" s="22"/>
      <c r="DH18" s="22"/>
    </row>
    <row r="19" spans="2:112" s="21" customFormat="1" ht="11.25" customHeight="1" outlineLevel="1" x14ac:dyDescent="0.35">
      <c r="B19" s="83" t="e">
        <f ca="1">IF(IFERROR(MATCH("*Other*",OFFSET(Budget!#REF!,B18,0,ROWS(#REF!),1),0)+B18,999)&lt;ROWS(#REF!),IFERROR(MATCH("*Other*",OFFSET(Budget!#REF!,B18,0,ROWS(#REF!),1),0)+B18,999),"")</f>
        <v>#REF!</v>
      </c>
      <c r="C19" s="70" t="str">
        <f ca="1">IFERROR(INDEX(#REF!,B19),"")</f>
        <v/>
      </c>
      <c r="E19" s="83" t="e">
        <f ca="1">IF(MIN(IFERROR(MATCH("*PostDoc*",OFFSET(Budget!#REF!,E18,0,ROWS(#REF!),1),0)+E18,999),IFERROR(MATCH("*PhD*",OFFSET(Budget!#REF!,E18,0,ROWS(#REF!),1),0)+E18,999),IFERROR(MATCH("*PDEng*",OFFSET(Budget!#REF!,E18,0,ROWS(#REF!),1),0)+E18,999))&lt;ROWS(#REF!),MIN(IFERROR(MATCH("*PostDoc*",OFFSET(Budget!#REF!,E18,0,ROWS(#REF!),1),0)+E18,999),IFERROR(MATCH("*PhD*",OFFSET(Budget!#REF!,E18,0,ROWS(#REF!),1),0)+E18,999),IFERROR(MATCH("*PDEng*",OFFSET(Budget!#REF!,E18,0,ROWS(#REF!),1),0)+E18,999)),"")</f>
        <v>#REF!</v>
      </c>
      <c r="F19" s="74" t="str">
        <f ca="1">IFERROR(INDEX(#REF!,E19)*INDEX(#REF!,E19)/12,"")</f>
        <v/>
      </c>
      <c r="G19" s="90"/>
      <c r="H19" s="83" t="e">
        <f ca="1">IF(IFERROR(MATCH("*researcher*",OFFSET(Budget!#REF!,H18,0,ROWS(#REF!),1),0)+H18,999)&lt;ROWS(#REF!),IFERROR(MATCH("*researcher*",OFFSET(Budget!#REF!,H18,0,ROWS(#REF!),1),0)+H18,999),"")</f>
        <v>#REF!</v>
      </c>
      <c r="I19" s="74" t="str">
        <f ca="1">IF(ISERROR(IF(AND(INDEX(#REF!,H19)&gt;=pers_oi_min_months,INDEX(#REF!,H19)/INDEX(#REF!,H19)*12/pers_other_nrhours_year&gt;=pers_oi_minFTE)=TRUE,INDEX(#REF!,H19)/12,0)),"",IF(AND(INDEX(#REF!,H19)&gt;=pers_oi_min_months,INDEX(#REF!,H19)/INDEX(#REF!,H19)*12/pers_other_nrhours_year&gt;=pers_oi_minFTE)=TRUE,INDEX(#REF!,H19)/12,""))</f>
        <v/>
      </c>
      <c r="J19" s="90"/>
      <c r="K19" s="83" t="e">
        <f ca="1">IF(IFERROR(MATCH("*Non-scientific*",OFFSET(Budget!#REF!,K18,0,ROWS(#REF!),1),0)+K18,999)&lt;ROWS(#REF!),IFERROR(MATCH("*Non-scientific*",OFFSET(Budget!#REF!,K18,0,ROWS(#REF!),1),0)+K18,999),"")</f>
        <v>#REF!</v>
      </c>
      <c r="L19" s="70" t="str">
        <f ca="1">IFERROR(INDEX(#REF!,K19),"")</f>
        <v/>
      </c>
      <c r="M19" s="113"/>
      <c r="N19" s="83" t="e">
        <f ca="1">IF(IFERROR(MATCH("*leave*",OFFSET(Budget!#REF!,N18,0,ROWS(#REF!),1),0)+N18,999)&lt;ROWS(#REF!),IFERROR(MATCH("*leave*",OFFSET(Budget!#REF!,N18,0,ROWS(#REF!),1),0)+N18,999),"")</f>
        <v>#REF!</v>
      </c>
      <c r="O19" s="88" t="str">
        <f ca="1">IFERROR(INDEX(#REF!,N19)*INDEX(#REF!,N19),"")</f>
        <v/>
      </c>
      <c r="P19" s="113"/>
      <c r="Q19" s="83" t="e">
        <f ca="1">IF(MIN(IFERROR(MATCH("*PostDoc*",OFFSET(Budget!#REF!,Q18,0,ROWS(#REF!)-Q18,1),0)+Q18,999),IFERROR(MATCH("*PhD*",OFFSET(Budget!#REF!,Q18,0,ROWS(#REF!)-Q18,1),0)+Q18,999),IFERROR(MATCH("*PDEng*",OFFSET(Budget!#REF!,Q18,0,ROWS(#REF!)-Q18,1),0)+Q18,999),IFERROR(MATCH("*Doctorate*",OFFSET(Budget!#REF!,Q18,0,ROWS(#REF!)-Q18,1),0)+Q18,999))&lt;ROWS(#REF!),MIN(IFERROR(MATCH("*PostDoc*",OFFSET(Budget!#REF!,Q18,0,ROWS(#REF!)-Q18,1),0)+Q18,999),IFERROR(MATCH("*PhD*",OFFSET(Budget!#REF!,Q18,0,ROWS(#REF!)-Q18,1),0)+Q18,999),IFERROR(MATCH("*PDEng*",OFFSET(Budget!#REF!,Q18,0,ROWS(#REF!)-Q18,1),0)+Q18,999),IFERROR(MATCH("*Doctorate*",OFFSET(Budget!#REF!,Q18,0,ROWS(#REF!)-Q18,1),0)+Q18,999)),"")</f>
        <v>#REF!</v>
      </c>
      <c r="R19" s="113" t="str">
        <f ca="1">IFERROR(INDEX(#REF!,Q19),"")</f>
        <v/>
      </c>
      <c r="S19" s="113" t="str">
        <f ca="1">IFERROR(INDEX(#REF!,Q19),"")</f>
        <v/>
      </c>
      <c r="T19" s="113" t="str">
        <f ca="1">IFERROR(INDEX(#REF!,Q19),"")</f>
        <v/>
      </c>
      <c r="U19" s="113" t="str">
        <f ca="1">SUBSTITUTE(IFERROR(INDEX(#REF!,Q19),""),0,"")</f>
        <v/>
      </c>
      <c r="V19" s="132" t="str">
        <f ca="1">SUBSTITUTE(IFERROR(INDEX(#REF!,Q19),""),0,"")</f>
        <v/>
      </c>
      <c r="W19" s="113"/>
      <c r="X19" s="133" t="e">
        <f>IF(ROW(E1556)-ROW($E$1548)&lt;ROWS(#REF!),IFERROR(IF(INDEX(list_cofunders[private?],MATCH(Budget!#REF!,list_cofunders[list cofunders],0),1)="yes",Budget!#REF!,""),""),"")</f>
        <v>#REF!</v>
      </c>
      <c r="Y19" s="134" t="e">
        <f>IF(ROW(E1659)-ROW($E$1651)&lt;ROWS(#REF!),IFERROR(IF(INDEX(list_cofunders[private?],MATCH(Budget!#REF!,list_cofunders[list cofunders],0),1)="yes",Budget!#REF!,""),""),"")</f>
        <v>#REF!</v>
      </c>
      <c r="Z19" s="113" t="str">
        <f>IFERROR(INDEX(#REF!,X19),"")</f>
        <v/>
      </c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CZ19" s="22"/>
      <c r="DA19" s="22"/>
      <c r="DB19" s="22"/>
      <c r="DC19" s="22"/>
      <c r="DD19" s="22"/>
      <c r="DE19" s="22"/>
      <c r="DF19" s="22"/>
      <c r="DG19" s="22"/>
      <c r="DH19" s="22"/>
    </row>
    <row r="20" spans="2:112" s="21" customFormat="1" ht="11.25" customHeight="1" outlineLevel="1" x14ac:dyDescent="0.35">
      <c r="B20" s="83" t="e">
        <f ca="1">IF(IFERROR(MATCH("*Other*",OFFSET(Budget!#REF!,B19,0,ROWS(#REF!),1),0)+B19,999)&lt;ROWS(#REF!),IFERROR(MATCH("*Other*",OFFSET(Budget!#REF!,B19,0,ROWS(#REF!),1),0)+B19,999),"")</f>
        <v>#REF!</v>
      </c>
      <c r="C20" s="70" t="str">
        <f ca="1">IFERROR(INDEX(#REF!,B20),"")</f>
        <v/>
      </c>
      <c r="E20" s="83" t="e">
        <f ca="1">IF(MIN(IFERROR(MATCH("*PostDoc*",OFFSET(Budget!#REF!,E19,0,ROWS(#REF!),1),0)+E19,999),IFERROR(MATCH("*PhD*",OFFSET(Budget!#REF!,E19,0,ROWS(#REF!),1),0)+E19,999),IFERROR(MATCH("*PDEng*",OFFSET(Budget!#REF!,E19,0,ROWS(#REF!),1),0)+E19,999))&lt;ROWS(#REF!),MIN(IFERROR(MATCH("*PostDoc*",OFFSET(Budget!#REF!,E19,0,ROWS(#REF!),1),0)+E19,999),IFERROR(MATCH("*PhD*",OFFSET(Budget!#REF!,E19,0,ROWS(#REF!),1),0)+E19,999),IFERROR(MATCH("*PDEng*",OFFSET(Budget!#REF!,E19,0,ROWS(#REF!),1),0)+E19,999)),"")</f>
        <v>#REF!</v>
      </c>
      <c r="F20" s="74" t="str">
        <f ca="1">IFERROR(INDEX(#REF!,E20)*INDEX(#REF!,E20)/12,"")</f>
        <v/>
      </c>
      <c r="G20" s="90"/>
      <c r="H20" s="83" t="e">
        <f ca="1">IF(IFERROR(MATCH("*researcher*",OFFSET(Budget!#REF!,H19,0,ROWS(#REF!),1),0)+H19,999)&lt;ROWS(#REF!),IFERROR(MATCH("*researcher*",OFFSET(Budget!#REF!,H19,0,ROWS(#REF!),1),0)+H19,999),"")</f>
        <v>#REF!</v>
      </c>
      <c r="I20" s="74" t="str">
        <f ca="1">IF(ISERROR(IF(AND(INDEX(#REF!,H20)&gt;=pers_oi_min_months,INDEX(#REF!,H20)/INDEX(#REF!,H20)*12/pers_other_nrhours_year&gt;=pers_oi_minFTE)=TRUE,INDEX(#REF!,H20)/12,0)),"",IF(AND(INDEX(#REF!,H20)&gt;=pers_oi_min_months,INDEX(#REF!,H20)/INDEX(#REF!,H20)*12/pers_other_nrhours_year&gt;=pers_oi_minFTE)=TRUE,INDEX(#REF!,H20)/12,""))</f>
        <v/>
      </c>
      <c r="J20" s="90"/>
      <c r="K20" s="83" t="e">
        <f ca="1">IF(IFERROR(MATCH("*Non-scientific*",OFFSET(Budget!#REF!,K19,0,ROWS(#REF!),1),0)+K19,999)&lt;ROWS(#REF!),IFERROR(MATCH("*Non-scientific*",OFFSET(Budget!#REF!,K19,0,ROWS(#REF!),1),0)+K19,999),"")</f>
        <v>#REF!</v>
      </c>
      <c r="L20" s="70" t="str">
        <f ca="1">IFERROR(INDEX(#REF!,K20),"")</f>
        <v/>
      </c>
      <c r="M20" s="113"/>
      <c r="N20" s="83" t="e">
        <f ca="1">IF(IFERROR(MATCH("*leave*",OFFSET(Budget!#REF!,N19,0,ROWS(#REF!),1),0)+N19,999)&lt;ROWS(#REF!),IFERROR(MATCH("*leave*",OFFSET(Budget!#REF!,N19,0,ROWS(#REF!),1),0)+N19,999),"")</f>
        <v>#REF!</v>
      </c>
      <c r="O20" s="88" t="str">
        <f ca="1">IFERROR(INDEX(#REF!,N20)*INDEX(#REF!,N20),"")</f>
        <v/>
      </c>
      <c r="P20" s="113"/>
      <c r="Q20" s="83" t="e">
        <f ca="1">IF(MIN(IFERROR(MATCH("*PostDoc*",OFFSET(Budget!#REF!,Q19,0,ROWS(#REF!)-Q19,1),0)+Q19,999),IFERROR(MATCH("*PhD*",OFFSET(Budget!#REF!,Q19,0,ROWS(#REF!)-Q19,1),0)+Q19,999),IFERROR(MATCH("*PDEng*",OFFSET(Budget!#REF!,Q19,0,ROWS(#REF!)-Q19,1),0)+Q19,999),IFERROR(MATCH("*Doctorate*",OFFSET(Budget!#REF!,Q19,0,ROWS(#REF!)-Q19,1),0)+Q19,999))&lt;ROWS(#REF!),MIN(IFERROR(MATCH("*PostDoc*",OFFSET(Budget!#REF!,Q19,0,ROWS(#REF!)-Q19,1),0)+Q19,999),IFERROR(MATCH("*PhD*",OFFSET(Budget!#REF!,Q19,0,ROWS(#REF!)-Q19,1),0)+Q19,999),IFERROR(MATCH("*PDEng*",OFFSET(Budget!#REF!,Q19,0,ROWS(#REF!)-Q19,1),0)+Q19,999),IFERROR(MATCH("*Doctorate*",OFFSET(Budget!#REF!,Q19,0,ROWS(#REF!)-Q19,1),0)+Q19,999)),"")</f>
        <v>#REF!</v>
      </c>
      <c r="R20" s="113" t="str">
        <f ca="1">IFERROR(INDEX(#REF!,Q20),"")</f>
        <v/>
      </c>
      <c r="S20" s="113" t="str">
        <f ca="1">IFERROR(INDEX(#REF!,Q20),"")</f>
        <v/>
      </c>
      <c r="T20" s="113" t="str">
        <f ca="1">IFERROR(INDEX(#REF!,Q20),"")</f>
        <v/>
      </c>
      <c r="U20" s="113" t="str">
        <f ca="1">SUBSTITUTE(IFERROR(INDEX(#REF!,Q20),""),0,"")</f>
        <v/>
      </c>
      <c r="V20" s="132" t="str">
        <f ca="1">SUBSTITUTE(IFERROR(INDEX(#REF!,Q20),""),0,"")</f>
        <v/>
      </c>
      <c r="W20" s="113"/>
      <c r="X20" s="133" t="e">
        <f>IF(ROW(E1557)-ROW($E$1548)&lt;ROWS(#REF!),IFERROR(IF(INDEX(list_cofunders[private?],MATCH(Budget!#REF!,list_cofunders[list cofunders],0),1)="yes",Budget!#REF!,""),""),"")</f>
        <v>#REF!</v>
      </c>
      <c r="Y20" s="134" t="e">
        <f>IF(ROW(E1660)-ROW($E$1651)&lt;ROWS(#REF!),IFERROR(IF(INDEX(list_cofunders[private?],MATCH(Budget!#REF!,list_cofunders[list cofunders],0),1)="yes",Budget!#REF!,""),""),"")</f>
        <v>#REF!</v>
      </c>
      <c r="Z20" s="113" t="str">
        <f>IFERROR(INDEX(#REF!,X20),"")</f>
        <v/>
      </c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CZ20" s="22"/>
      <c r="DA20" s="22"/>
      <c r="DB20" s="22"/>
      <c r="DC20" s="22"/>
      <c r="DD20" s="22"/>
      <c r="DE20" s="22"/>
      <c r="DF20" s="22"/>
      <c r="DG20" s="22"/>
      <c r="DH20" s="22"/>
    </row>
    <row r="21" spans="2:112" s="21" customFormat="1" ht="11.25" customHeight="1" outlineLevel="1" x14ac:dyDescent="0.35">
      <c r="B21" s="83" t="e">
        <f ca="1">IF(IFERROR(MATCH("*Other*",OFFSET(Budget!#REF!,B20,0,ROWS(#REF!),1),0)+B20,999)&lt;ROWS(#REF!),IFERROR(MATCH("*Other*",OFFSET(Budget!#REF!,B20,0,ROWS(#REF!),1),0)+B20,999),"")</f>
        <v>#REF!</v>
      </c>
      <c r="C21" s="70" t="str">
        <f ca="1">IFERROR(INDEX(#REF!,B21),"")</f>
        <v/>
      </c>
      <c r="E21" s="83" t="e">
        <f ca="1">IF(MIN(IFERROR(MATCH("*PostDoc*",OFFSET(Budget!#REF!,E20,0,ROWS(#REF!),1),0)+E20,999),IFERROR(MATCH("*PhD*",OFFSET(Budget!#REF!,E20,0,ROWS(#REF!),1),0)+E20,999),IFERROR(MATCH("*PDEng*",OFFSET(Budget!#REF!,E20,0,ROWS(#REF!),1),0)+E20,999))&lt;ROWS(#REF!),MIN(IFERROR(MATCH("*PostDoc*",OFFSET(Budget!#REF!,E20,0,ROWS(#REF!),1),0)+E20,999),IFERROR(MATCH("*PhD*",OFFSET(Budget!#REF!,E20,0,ROWS(#REF!),1),0)+E20,999),IFERROR(MATCH("*PDEng*",OFFSET(Budget!#REF!,E20,0,ROWS(#REF!),1),0)+E20,999)),"")</f>
        <v>#REF!</v>
      </c>
      <c r="F21" s="74" t="str">
        <f ca="1">IFERROR(INDEX(#REF!,E21)*INDEX(#REF!,E21)/12,"")</f>
        <v/>
      </c>
      <c r="G21" s="90"/>
      <c r="H21" s="83" t="e">
        <f ca="1">IF(IFERROR(MATCH("*researcher*",OFFSET(Budget!#REF!,H20,0,ROWS(#REF!),1),0)+H20,999)&lt;ROWS(#REF!),IFERROR(MATCH("*researcher*",OFFSET(Budget!#REF!,H20,0,ROWS(#REF!),1),0)+H20,999),"")</f>
        <v>#REF!</v>
      </c>
      <c r="I21" s="74" t="str">
        <f ca="1">IF(ISERROR(IF(AND(INDEX(#REF!,H21)&gt;=pers_oi_min_months,INDEX(#REF!,H21)/INDEX(#REF!,H21)*12/pers_other_nrhours_year&gt;=pers_oi_minFTE)=TRUE,INDEX(#REF!,H21)/12,0)),"",IF(AND(INDEX(#REF!,H21)&gt;=pers_oi_min_months,INDEX(#REF!,H21)/INDEX(#REF!,H21)*12/pers_other_nrhours_year&gt;=pers_oi_minFTE)=TRUE,INDEX(#REF!,H21)/12,""))</f>
        <v/>
      </c>
      <c r="J21" s="90"/>
      <c r="K21" s="83" t="e">
        <f ca="1">IF(IFERROR(MATCH("*Non-scientific*",OFFSET(Budget!#REF!,K20,0,ROWS(#REF!),1),0)+K20,999)&lt;ROWS(#REF!),IFERROR(MATCH("*Non-scientific*",OFFSET(Budget!#REF!,K20,0,ROWS(#REF!),1),0)+K20,999),"")</f>
        <v>#REF!</v>
      </c>
      <c r="L21" s="70" t="str">
        <f ca="1">IFERROR(INDEX(#REF!,K21),"")</f>
        <v/>
      </c>
      <c r="M21" s="113"/>
      <c r="N21" s="83" t="e">
        <f ca="1">IF(IFERROR(MATCH("*leave*",OFFSET(Budget!#REF!,N20,0,ROWS(#REF!),1),0)+N20,999)&lt;ROWS(#REF!),IFERROR(MATCH("*leave*",OFFSET(Budget!#REF!,N20,0,ROWS(#REF!),1),0)+N20,999),"")</f>
        <v>#REF!</v>
      </c>
      <c r="O21" s="88" t="str">
        <f ca="1">IFERROR(INDEX(#REF!,N21)*INDEX(#REF!,N21),"")</f>
        <v/>
      </c>
      <c r="P21" s="113"/>
      <c r="Q21" s="83" t="e">
        <f ca="1">IF(MIN(IFERROR(MATCH("*PostDoc*",OFFSET(Budget!#REF!,Q20,0,ROWS(#REF!)-Q20,1),0)+Q20,999),IFERROR(MATCH("*PhD*",OFFSET(Budget!#REF!,Q20,0,ROWS(#REF!)-Q20,1),0)+Q20,999),IFERROR(MATCH("*PDEng*",OFFSET(Budget!#REF!,Q20,0,ROWS(#REF!)-Q20,1),0)+Q20,999),IFERROR(MATCH("*Doctorate*",OFFSET(Budget!#REF!,Q20,0,ROWS(#REF!)-Q20,1),0)+Q20,999))&lt;ROWS(#REF!),MIN(IFERROR(MATCH("*PostDoc*",OFFSET(Budget!#REF!,Q20,0,ROWS(#REF!)-Q20,1),0)+Q20,999),IFERROR(MATCH("*PhD*",OFFSET(Budget!#REF!,Q20,0,ROWS(#REF!)-Q20,1),0)+Q20,999),IFERROR(MATCH("*PDEng*",OFFSET(Budget!#REF!,Q20,0,ROWS(#REF!)-Q20,1),0)+Q20,999),IFERROR(MATCH("*Doctorate*",OFFSET(Budget!#REF!,Q20,0,ROWS(#REF!)-Q20,1),0)+Q20,999)),"")</f>
        <v>#REF!</v>
      </c>
      <c r="R21" s="113" t="str">
        <f ca="1">IFERROR(INDEX(#REF!,Q21),"")</f>
        <v/>
      </c>
      <c r="S21" s="113" t="str">
        <f ca="1">IFERROR(INDEX(#REF!,Q21),"")</f>
        <v/>
      </c>
      <c r="T21" s="113" t="str">
        <f ca="1">IFERROR(INDEX(#REF!,Q21),"")</f>
        <v/>
      </c>
      <c r="U21" s="113" t="str">
        <f ca="1">SUBSTITUTE(IFERROR(INDEX(#REF!,Q21),""),0,"")</f>
        <v/>
      </c>
      <c r="V21" s="132" t="str">
        <f ca="1">SUBSTITUTE(IFERROR(INDEX(#REF!,Q21),""),0,"")</f>
        <v/>
      </c>
      <c r="W21" s="113"/>
      <c r="X21" s="133" t="e">
        <f>IF(ROW(E1558)-ROW($E$1548)&lt;ROWS(#REF!),IFERROR(IF(INDEX(list_cofunders[private?],MATCH(Budget!#REF!,list_cofunders[list cofunders],0),1)="yes",Budget!#REF!,""),""),"")</f>
        <v>#REF!</v>
      </c>
      <c r="Y21" s="134" t="e">
        <f>IF(ROW(E1661)-ROW($E$1651)&lt;ROWS(#REF!),IFERROR(IF(INDEX(list_cofunders[private?],MATCH(Budget!#REF!,list_cofunders[list cofunders],0),1)="yes",Budget!#REF!,""),""),"")</f>
        <v>#REF!</v>
      </c>
      <c r="Z21" s="113" t="str">
        <f>IFERROR(INDEX(#REF!,X21),"")</f>
        <v/>
      </c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CZ21" s="22"/>
      <c r="DA21" s="22"/>
      <c r="DB21" s="22"/>
      <c r="DC21" s="22"/>
      <c r="DD21" s="22"/>
      <c r="DE21" s="22"/>
      <c r="DF21" s="22"/>
      <c r="DG21" s="22"/>
      <c r="DH21" s="22"/>
    </row>
    <row r="22" spans="2:112" s="21" customFormat="1" ht="11.25" customHeight="1" outlineLevel="1" x14ac:dyDescent="0.35">
      <c r="B22" s="83" t="e">
        <f ca="1">IF(IFERROR(MATCH("*Other*",OFFSET(Budget!#REF!,B21,0,ROWS(#REF!),1),0)+B21,999)&lt;ROWS(#REF!),IFERROR(MATCH("*Other*",OFFSET(Budget!#REF!,B21,0,ROWS(#REF!),1),0)+B21,999),"")</f>
        <v>#REF!</v>
      </c>
      <c r="C22" s="70" t="str">
        <f ca="1">IFERROR(INDEX(#REF!,B22),"")</f>
        <v/>
      </c>
      <c r="E22" s="83" t="e">
        <f ca="1">IF(MIN(IFERROR(MATCH("*PostDoc*",OFFSET(Budget!#REF!,E21,0,ROWS(#REF!),1),0)+E21,999),IFERROR(MATCH("*PhD*",OFFSET(Budget!#REF!,E21,0,ROWS(#REF!),1),0)+E21,999),IFERROR(MATCH("*PDEng*",OFFSET(Budget!#REF!,E21,0,ROWS(#REF!),1),0)+E21,999))&lt;ROWS(#REF!),MIN(IFERROR(MATCH("*PostDoc*",OFFSET(Budget!#REF!,E21,0,ROWS(#REF!),1),0)+E21,999),IFERROR(MATCH("*PhD*",OFFSET(Budget!#REF!,E21,0,ROWS(#REF!),1),0)+E21,999),IFERROR(MATCH("*PDEng*",OFFSET(Budget!#REF!,E21,0,ROWS(#REF!),1),0)+E21,999)),"")</f>
        <v>#REF!</v>
      </c>
      <c r="F22" s="74" t="str">
        <f ca="1">IFERROR(INDEX(#REF!,E22)*INDEX(#REF!,E22)/12,"")</f>
        <v/>
      </c>
      <c r="G22" s="90"/>
      <c r="H22" s="83" t="e">
        <f ca="1">IF(IFERROR(MATCH("*researcher*",OFFSET(Budget!#REF!,H21,0,ROWS(#REF!),1),0)+H21,999)&lt;ROWS(#REF!),IFERROR(MATCH("*researcher*",OFFSET(Budget!#REF!,H21,0,ROWS(#REF!),1),0)+H21,999),"")</f>
        <v>#REF!</v>
      </c>
      <c r="I22" s="74" t="str">
        <f ca="1">IF(ISERROR(IF(AND(INDEX(#REF!,H22)&gt;=pers_oi_min_months,INDEX(#REF!,H22)/INDEX(#REF!,H22)*12/pers_other_nrhours_year&gt;=pers_oi_minFTE)=TRUE,INDEX(#REF!,H22)/12,0)),"",IF(AND(INDEX(#REF!,H22)&gt;=pers_oi_min_months,INDEX(#REF!,H22)/INDEX(#REF!,H22)*12/pers_other_nrhours_year&gt;=pers_oi_minFTE)=TRUE,INDEX(#REF!,H22)/12,""))</f>
        <v/>
      </c>
      <c r="J22" s="90"/>
      <c r="K22" s="83" t="e">
        <f ca="1">IF(IFERROR(MATCH("*Non-scientific*",OFFSET(Budget!#REF!,K21,0,ROWS(#REF!),1),0)+K21,999)&lt;ROWS(#REF!),IFERROR(MATCH("*Non-scientific*",OFFSET(Budget!#REF!,K21,0,ROWS(#REF!),1),0)+K21,999),"")</f>
        <v>#REF!</v>
      </c>
      <c r="L22" s="70" t="str">
        <f ca="1">IFERROR(INDEX(#REF!,K22),"")</f>
        <v/>
      </c>
      <c r="M22" s="113"/>
      <c r="N22" s="83" t="e">
        <f ca="1">IF(IFERROR(MATCH("*leave*",OFFSET(Budget!#REF!,N21,0,ROWS(#REF!),1),0)+N21,999)&lt;ROWS(#REF!),IFERROR(MATCH("*leave*",OFFSET(Budget!#REF!,N21,0,ROWS(#REF!),1),0)+N21,999),"")</f>
        <v>#REF!</v>
      </c>
      <c r="O22" s="88" t="str">
        <f ca="1">IFERROR(INDEX(#REF!,N22)*INDEX(#REF!,N22),"")</f>
        <v/>
      </c>
      <c r="P22" s="113"/>
      <c r="Q22" s="83" t="e">
        <f ca="1">IF(MIN(IFERROR(MATCH("*PostDoc*",OFFSET(Budget!#REF!,Q21,0,ROWS(#REF!)-Q21,1),0)+Q21,999),IFERROR(MATCH("*PhD*",OFFSET(Budget!#REF!,Q21,0,ROWS(#REF!)-Q21,1),0)+Q21,999),IFERROR(MATCH("*PDEng*",OFFSET(Budget!#REF!,Q21,0,ROWS(#REF!)-Q21,1),0)+Q21,999),IFERROR(MATCH("*Doctorate*",OFFSET(Budget!#REF!,Q21,0,ROWS(#REF!)-Q21,1),0)+Q21,999))&lt;ROWS(#REF!),MIN(IFERROR(MATCH("*PostDoc*",OFFSET(Budget!#REF!,Q21,0,ROWS(#REF!)-Q21,1),0)+Q21,999),IFERROR(MATCH("*PhD*",OFFSET(Budget!#REF!,Q21,0,ROWS(#REF!)-Q21,1),0)+Q21,999),IFERROR(MATCH("*PDEng*",OFFSET(Budget!#REF!,Q21,0,ROWS(#REF!)-Q21,1),0)+Q21,999),IFERROR(MATCH("*Doctorate*",OFFSET(Budget!#REF!,Q21,0,ROWS(#REF!)-Q21,1),0)+Q21,999)),"")</f>
        <v>#REF!</v>
      </c>
      <c r="R22" s="113" t="str">
        <f ca="1">IFERROR(INDEX(#REF!,Q22),"")</f>
        <v/>
      </c>
      <c r="S22" s="113" t="str">
        <f ca="1">IFERROR(INDEX(#REF!,Q22),"")</f>
        <v/>
      </c>
      <c r="T22" s="113" t="str">
        <f ca="1">IFERROR(INDEX(#REF!,Q22),"")</f>
        <v/>
      </c>
      <c r="U22" s="113" t="str">
        <f ca="1">SUBSTITUTE(IFERROR(INDEX(#REF!,Q22),""),0,"")</f>
        <v/>
      </c>
      <c r="V22" s="132" t="str">
        <f ca="1">SUBSTITUTE(IFERROR(INDEX(#REF!,Q22),""),0,"")</f>
        <v/>
      </c>
      <c r="W22" s="113"/>
      <c r="X22" s="133" t="e">
        <f>IF(ROW(E1559)-ROW($E$1548)&lt;ROWS(#REF!),IFERROR(IF(INDEX(list_cofunders[private?],MATCH(Budget!#REF!,list_cofunders[list cofunders],0),1)="yes",Budget!#REF!,""),""),"")</f>
        <v>#REF!</v>
      </c>
      <c r="Y22" s="134" t="e">
        <f>IF(ROW(E1662)-ROW($E$1651)&lt;ROWS(#REF!),IFERROR(IF(INDEX(list_cofunders[private?],MATCH(Budget!#REF!,list_cofunders[list cofunders],0),1)="yes",Budget!#REF!,""),""),"")</f>
        <v>#REF!</v>
      </c>
      <c r="Z22" s="113" t="str">
        <f>IFERROR(INDEX(#REF!,X22),"")</f>
        <v/>
      </c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CZ22" s="22"/>
      <c r="DA22" s="22"/>
      <c r="DB22" s="22"/>
      <c r="DC22" s="22"/>
      <c r="DD22" s="22"/>
      <c r="DE22" s="22"/>
      <c r="DF22" s="22"/>
      <c r="DG22" s="22"/>
      <c r="DH22" s="22"/>
    </row>
    <row r="23" spans="2:112" s="21" customFormat="1" ht="11.25" customHeight="1" outlineLevel="1" x14ac:dyDescent="0.35">
      <c r="B23" s="83" t="e">
        <f ca="1">IF(IFERROR(MATCH("*Other*",OFFSET(Budget!#REF!,B22,0,ROWS(#REF!),1),0)+B22,999)&lt;ROWS(#REF!),IFERROR(MATCH("*Other*",OFFSET(Budget!#REF!,B22,0,ROWS(#REF!),1),0)+B22,999),"")</f>
        <v>#REF!</v>
      </c>
      <c r="C23" s="70" t="str">
        <f ca="1">IFERROR(INDEX(#REF!,B23),"")</f>
        <v/>
      </c>
      <c r="E23" s="83" t="e">
        <f ca="1">IF(MIN(IFERROR(MATCH("*PostDoc*",OFFSET(Budget!#REF!,E22,0,ROWS(#REF!),1),0)+E22,999),IFERROR(MATCH("*PhD*",OFFSET(Budget!#REF!,E22,0,ROWS(#REF!),1),0)+E22,999),IFERROR(MATCH("*PDEng*",OFFSET(Budget!#REF!,E22,0,ROWS(#REF!),1),0)+E22,999))&lt;ROWS(#REF!),MIN(IFERROR(MATCH("*PostDoc*",OFFSET(Budget!#REF!,E22,0,ROWS(#REF!),1),0)+E22,999),IFERROR(MATCH("*PhD*",OFFSET(Budget!#REF!,E22,0,ROWS(#REF!),1),0)+E22,999),IFERROR(MATCH("*PDEng*",OFFSET(Budget!#REF!,E22,0,ROWS(#REF!),1),0)+E22,999)),"")</f>
        <v>#REF!</v>
      </c>
      <c r="F23" s="74" t="str">
        <f ca="1">IFERROR(INDEX(#REF!,E23)*INDEX(#REF!,E23)/12,"")</f>
        <v/>
      </c>
      <c r="G23" s="90"/>
      <c r="H23" s="83" t="e">
        <f ca="1">IF(IFERROR(MATCH("*researcher*",OFFSET(Budget!#REF!,H22,0,ROWS(#REF!),1),0)+H22,999)&lt;ROWS(#REF!),IFERROR(MATCH("*researcher*",OFFSET(Budget!#REF!,H22,0,ROWS(#REF!),1),0)+H22,999),"")</f>
        <v>#REF!</v>
      </c>
      <c r="I23" s="74" t="str">
        <f ca="1">IF(ISERROR(IF(AND(INDEX(#REF!,H23)&gt;=pers_oi_min_months,INDEX(#REF!,H23)/INDEX(#REF!,H23)*12/pers_other_nrhours_year&gt;=pers_oi_minFTE)=TRUE,INDEX(#REF!,H23)/12,0)),"",IF(AND(INDEX(#REF!,H23)&gt;=pers_oi_min_months,INDEX(#REF!,H23)/INDEX(#REF!,H23)*12/pers_other_nrhours_year&gt;=pers_oi_minFTE)=TRUE,INDEX(#REF!,H23)/12,""))</f>
        <v/>
      </c>
      <c r="J23" s="90"/>
      <c r="K23" s="83" t="e">
        <f ca="1">IF(IFERROR(MATCH("*Non-scientific*",OFFSET(Budget!#REF!,K22,0,ROWS(#REF!),1),0)+K22,999)&lt;ROWS(#REF!),IFERROR(MATCH("*Non-scientific*",OFFSET(Budget!#REF!,K22,0,ROWS(#REF!),1),0)+K22,999),"")</f>
        <v>#REF!</v>
      </c>
      <c r="L23" s="70" t="str">
        <f ca="1">IFERROR(INDEX(#REF!,K23),"")</f>
        <v/>
      </c>
      <c r="M23" s="113"/>
      <c r="N23" s="83" t="e">
        <f ca="1">IF(IFERROR(MATCH("*leave*",OFFSET(Budget!#REF!,N22,0,ROWS(#REF!),1),0)+N22,999)&lt;ROWS(#REF!),IFERROR(MATCH("*leave*",OFFSET(Budget!#REF!,N22,0,ROWS(#REF!),1),0)+N22,999),"")</f>
        <v>#REF!</v>
      </c>
      <c r="O23" s="88" t="str">
        <f ca="1">IFERROR(INDEX(#REF!,N23)*INDEX(#REF!,N23),"")</f>
        <v/>
      </c>
      <c r="P23" s="113"/>
      <c r="Q23" s="83" t="e">
        <f ca="1">IF(MIN(IFERROR(MATCH("*PostDoc*",OFFSET(Budget!#REF!,Q22,0,ROWS(#REF!)-Q22,1),0)+Q22,999),IFERROR(MATCH("*PhD*",OFFSET(Budget!#REF!,Q22,0,ROWS(#REF!)-Q22,1),0)+Q22,999),IFERROR(MATCH("*PDEng*",OFFSET(Budget!#REF!,Q22,0,ROWS(#REF!)-Q22,1),0)+Q22,999),IFERROR(MATCH("*Doctorate*",OFFSET(Budget!#REF!,Q22,0,ROWS(#REF!)-Q22,1),0)+Q22,999))&lt;ROWS(#REF!),MIN(IFERROR(MATCH("*PostDoc*",OFFSET(Budget!#REF!,Q22,0,ROWS(#REF!)-Q22,1),0)+Q22,999),IFERROR(MATCH("*PhD*",OFFSET(Budget!#REF!,Q22,0,ROWS(#REF!)-Q22,1),0)+Q22,999),IFERROR(MATCH("*PDEng*",OFFSET(Budget!#REF!,Q22,0,ROWS(#REF!)-Q22,1),0)+Q22,999),IFERROR(MATCH("*Doctorate*",OFFSET(Budget!#REF!,Q22,0,ROWS(#REF!)-Q22,1),0)+Q22,999)),"")</f>
        <v>#REF!</v>
      </c>
      <c r="R23" s="113" t="str">
        <f ca="1">IFERROR(INDEX(#REF!,Q23),"")</f>
        <v/>
      </c>
      <c r="S23" s="113" t="str">
        <f ca="1">IFERROR(INDEX(#REF!,Q23),"")</f>
        <v/>
      </c>
      <c r="T23" s="113" t="str">
        <f ca="1">IFERROR(INDEX(#REF!,Q23),"")</f>
        <v/>
      </c>
      <c r="U23" s="113" t="str">
        <f ca="1">SUBSTITUTE(IFERROR(INDEX(#REF!,Q23),""),0,"")</f>
        <v/>
      </c>
      <c r="V23" s="132" t="str">
        <f ca="1">SUBSTITUTE(IFERROR(INDEX(#REF!,Q23),""),0,"")</f>
        <v/>
      </c>
      <c r="W23" s="113"/>
      <c r="X23" s="133" t="e">
        <f>IF(ROW(E1560)-ROW($E$1548)&lt;ROWS(#REF!),IFERROR(IF(INDEX(list_cofunders[private?],MATCH(Budget!#REF!,list_cofunders[list cofunders],0),1)="yes",Budget!#REF!,""),""),"")</f>
        <v>#REF!</v>
      </c>
      <c r="Y23" s="134" t="e">
        <f>IF(ROW(E1663)-ROW($E$1651)&lt;ROWS(#REF!),IFERROR(IF(INDEX(list_cofunders[private?],MATCH(Budget!#REF!,list_cofunders[list cofunders],0),1)="yes",Budget!#REF!,""),""),"")</f>
        <v>#REF!</v>
      </c>
      <c r="Z23" s="113" t="str">
        <f>IFERROR(INDEX(#REF!,X23),"")</f>
        <v/>
      </c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CZ23" s="22"/>
      <c r="DA23" s="22"/>
      <c r="DB23" s="22"/>
      <c r="DC23" s="22"/>
      <c r="DD23" s="22"/>
      <c r="DE23" s="22"/>
      <c r="DF23" s="22"/>
      <c r="DG23" s="22"/>
      <c r="DH23" s="22"/>
    </row>
    <row r="24" spans="2:112" s="21" customFormat="1" ht="11.25" customHeight="1" outlineLevel="1" x14ac:dyDescent="0.35">
      <c r="B24" s="83" t="e">
        <f ca="1">IF(IFERROR(MATCH("*Other*",OFFSET(Budget!#REF!,B23,0,ROWS(#REF!),1),0)+B23,999)&lt;ROWS(#REF!),IFERROR(MATCH("*Other*",OFFSET(Budget!#REF!,B23,0,ROWS(#REF!),1),0)+B23,999),"")</f>
        <v>#REF!</v>
      </c>
      <c r="C24" s="70" t="str">
        <f ca="1">IFERROR(INDEX(#REF!,B24),"")</f>
        <v/>
      </c>
      <c r="E24" s="83" t="e">
        <f ca="1">IF(MIN(IFERROR(MATCH("*PostDoc*",OFFSET(Budget!#REF!,E23,0,ROWS(#REF!),1),0)+E23,999),IFERROR(MATCH("*PhD*",OFFSET(Budget!#REF!,E23,0,ROWS(#REF!),1),0)+E23,999),IFERROR(MATCH("*PDEng*",OFFSET(Budget!#REF!,E23,0,ROWS(#REF!),1),0)+E23,999))&lt;ROWS(#REF!),MIN(IFERROR(MATCH("*PostDoc*",OFFSET(Budget!#REF!,E23,0,ROWS(#REF!),1),0)+E23,999),IFERROR(MATCH("*PhD*",OFFSET(Budget!#REF!,E23,0,ROWS(#REF!),1),0)+E23,999),IFERROR(MATCH("*PDEng*",OFFSET(Budget!#REF!,E23,0,ROWS(#REF!),1),0)+E23,999)),"")</f>
        <v>#REF!</v>
      </c>
      <c r="F24" s="74" t="str">
        <f ca="1">IFERROR(INDEX(#REF!,E24)*INDEX(#REF!,E24)/12,"")</f>
        <v/>
      </c>
      <c r="G24" s="90"/>
      <c r="H24" s="83" t="e">
        <f ca="1">IF(IFERROR(MATCH("*researcher*",OFFSET(Budget!#REF!,H23,0,ROWS(#REF!),1),0)+H23,999)&lt;ROWS(#REF!),IFERROR(MATCH("*researcher*",OFFSET(Budget!#REF!,H23,0,ROWS(#REF!),1),0)+H23,999),"")</f>
        <v>#REF!</v>
      </c>
      <c r="I24" s="74" t="str">
        <f ca="1">IF(ISERROR(IF(AND(INDEX(#REF!,H24)&gt;=pers_oi_min_months,INDEX(#REF!,H24)/INDEX(#REF!,H24)*12/pers_other_nrhours_year&gt;=pers_oi_minFTE)=TRUE,INDEX(#REF!,H24)/12,0)),"",IF(AND(INDEX(#REF!,H24)&gt;=pers_oi_min_months,INDEX(#REF!,H24)/INDEX(#REF!,H24)*12/pers_other_nrhours_year&gt;=pers_oi_minFTE)=TRUE,INDEX(#REF!,H24)/12,""))</f>
        <v/>
      </c>
      <c r="J24" s="90"/>
      <c r="K24" s="83" t="e">
        <f ca="1">IF(IFERROR(MATCH("*Non-scientific*",OFFSET(Budget!#REF!,K23,0,ROWS(#REF!),1),0)+K23,999)&lt;ROWS(#REF!),IFERROR(MATCH("*Non-scientific*",OFFSET(Budget!#REF!,K23,0,ROWS(#REF!),1),0)+K23,999),"")</f>
        <v>#REF!</v>
      </c>
      <c r="L24" s="70" t="str">
        <f ca="1">IFERROR(INDEX(#REF!,K24),"")</f>
        <v/>
      </c>
      <c r="M24" s="113"/>
      <c r="N24" s="83" t="e">
        <f ca="1">IF(IFERROR(MATCH("*leave*",OFFSET(Budget!#REF!,N23,0,ROWS(#REF!),1),0)+N23,999)&lt;ROWS(#REF!),IFERROR(MATCH("*leave*",OFFSET(Budget!#REF!,N23,0,ROWS(#REF!),1),0)+N23,999),"")</f>
        <v>#REF!</v>
      </c>
      <c r="O24" s="88" t="str">
        <f ca="1">IFERROR(INDEX(#REF!,N24)*INDEX(#REF!,N24),"")</f>
        <v/>
      </c>
      <c r="P24" s="113"/>
      <c r="Q24" s="83" t="e">
        <f ca="1">IF(MIN(IFERROR(MATCH("*PostDoc*",OFFSET(Budget!#REF!,Q23,0,ROWS(#REF!)-Q23,1),0)+Q23,999),IFERROR(MATCH("*PhD*",OFFSET(Budget!#REF!,Q23,0,ROWS(#REF!)-Q23,1),0)+Q23,999),IFERROR(MATCH("*PDEng*",OFFSET(Budget!#REF!,Q23,0,ROWS(#REF!)-Q23,1),0)+Q23,999),IFERROR(MATCH("*Doctorate*",OFFSET(Budget!#REF!,Q23,0,ROWS(#REF!)-Q23,1),0)+Q23,999))&lt;ROWS(#REF!),MIN(IFERROR(MATCH("*PostDoc*",OFFSET(Budget!#REF!,Q23,0,ROWS(#REF!)-Q23,1),0)+Q23,999),IFERROR(MATCH("*PhD*",OFFSET(Budget!#REF!,Q23,0,ROWS(#REF!)-Q23,1),0)+Q23,999),IFERROR(MATCH("*PDEng*",OFFSET(Budget!#REF!,Q23,0,ROWS(#REF!)-Q23,1),0)+Q23,999),IFERROR(MATCH("*Doctorate*",OFFSET(Budget!#REF!,Q23,0,ROWS(#REF!)-Q23,1),0)+Q23,999)),"")</f>
        <v>#REF!</v>
      </c>
      <c r="R24" s="113" t="str">
        <f ca="1">IFERROR(INDEX(#REF!,Q24),"")</f>
        <v/>
      </c>
      <c r="S24" s="113" t="str">
        <f ca="1">IFERROR(INDEX(#REF!,Q24),"")</f>
        <v/>
      </c>
      <c r="T24" s="113" t="str">
        <f ca="1">IFERROR(INDEX(#REF!,Q24),"")</f>
        <v/>
      </c>
      <c r="U24" s="113" t="str">
        <f ca="1">SUBSTITUTE(IFERROR(INDEX(#REF!,Q24),""),0,"")</f>
        <v/>
      </c>
      <c r="V24" s="132" t="str">
        <f ca="1">SUBSTITUTE(IFERROR(INDEX(#REF!,Q24),""),0,"")</f>
        <v/>
      </c>
      <c r="W24" s="113"/>
      <c r="X24" s="133" t="e">
        <f>IF(ROW(E1561)-ROW($E$1548)&lt;ROWS(#REF!),IFERROR(IF(INDEX(list_cofunders[private?],MATCH(Budget!#REF!,list_cofunders[list cofunders],0),1)="yes",Budget!#REF!,""),""),"")</f>
        <v>#REF!</v>
      </c>
      <c r="Y24" s="134" t="e">
        <f>IF(ROW(E1664)-ROW($E$1651)&lt;ROWS(#REF!),IFERROR(IF(INDEX(list_cofunders[private?],MATCH(Budget!#REF!,list_cofunders[list cofunders],0),1)="yes",Budget!#REF!,""),""),"")</f>
        <v>#REF!</v>
      </c>
      <c r="Z24" s="113" t="str">
        <f>IFERROR(INDEX(#REF!,X24),"")</f>
        <v/>
      </c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CZ24" s="22"/>
      <c r="DA24" s="22"/>
      <c r="DB24" s="22"/>
      <c r="DC24" s="22"/>
      <c r="DD24" s="22"/>
      <c r="DE24" s="22"/>
      <c r="DF24" s="22"/>
      <c r="DG24" s="22"/>
      <c r="DH24" s="22"/>
    </row>
    <row r="25" spans="2:112" s="21" customFormat="1" ht="11.25" customHeight="1" outlineLevel="1" x14ac:dyDescent="0.35">
      <c r="B25" s="83" t="e">
        <f ca="1">IF(IFERROR(MATCH("*Other*",OFFSET(Budget!#REF!,B24,0,ROWS(#REF!),1),0)+B24,999)&lt;ROWS(#REF!),IFERROR(MATCH("*Other*",OFFSET(Budget!#REF!,B24,0,ROWS(#REF!),1),0)+B24,999),"")</f>
        <v>#REF!</v>
      </c>
      <c r="C25" s="70" t="str">
        <f ca="1">IFERROR(INDEX(#REF!,B25),"")</f>
        <v/>
      </c>
      <c r="E25" s="83" t="e">
        <f ca="1">IF(MIN(IFERROR(MATCH("*PostDoc*",OFFSET(Budget!#REF!,E24,0,ROWS(#REF!),1),0)+E24,999),IFERROR(MATCH("*PhD*",OFFSET(Budget!#REF!,E24,0,ROWS(#REF!),1),0)+E24,999),IFERROR(MATCH("*PDEng*",OFFSET(Budget!#REF!,E24,0,ROWS(#REF!),1),0)+E24,999))&lt;ROWS(#REF!),MIN(IFERROR(MATCH("*PostDoc*",OFFSET(Budget!#REF!,E24,0,ROWS(#REF!),1),0)+E24,999),IFERROR(MATCH("*PhD*",OFFSET(Budget!#REF!,E24,0,ROWS(#REF!),1),0)+E24,999),IFERROR(MATCH("*PDEng*",OFFSET(Budget!#REF!,E24,0,ROWS(#REF!),1),0)+E24,999)),"")</f>
        <v>#REF!</v>
      </c>
      <c r="F25" s="74" t="str">
        <f ca="1">IFERROR(INDEX(#REF!,E25)*INDEX(#REF!,E25)/12,"")</f>
        <v/>
      </c>
      <c r="G25" s="90"/>
      <c r="H25" s="83" t="e">
        <f ca="1">IF(IFERROR(MATCH("*researcher*",OFFSET(Budget!#REF!,H24,0,ROWS(#REF!),1),0)+H24,999)&lt;ROWS(#REF!),IFERROR(MATCH("*researcher*",OFFSET(Budget!#REF!,H24,0,ROWS(#REF!),1),0)+H24,999),"")</f>
        <v>#REF!</v>
      </c>
      <c r="I25" s="74" t="str">
        <f ca="1">IF(ISERROR(IF(AND(INDEX(#REF!,H25)&gt;=pers_oi_min_months,INDEX(#REF!,H25)/INDEX(#REF!,H25)*12/pers_other_nrhours_year&gt;=pers_oi_minFTE)=TRUE,INDEX(#REF!,H25)/12,0)),"",IF(AND(INDEX(#REF!,H25)&gt;=pers_oi_min_months,INDEX(#REF!,H25)/INDEX(#REF!,H25)*12/pers_other_nrhours_year&gt;=pers_oi_minFTE)=TRUE,INDEX(#REF!,H25)/12,""))</f>
        <v/>
      </c>
      <c r="J25" s="90"/>
      <c r="K25" s="83" t="e">
        <f ca="1">IF(IFERROR(MATCH("*Non-scientific*",OFFSET(Budget!#REF!,K24,0,ROWS(#REF!),1),0)+K24,999)&lt;ROWS(#REF!),IFERROR(MATCH("*Non-scientific*",OFFSET(Budget!#REF!,K24,0,ROWS(#REF!),1),0)+K24,999),"")</f>
        <v>#REF!</v>
      </c>
      <c r="L25" s="70" t="str">
        <f ca="1">IFERROR(INDEX(#REF!,K25),"")</f>
        <v/>
      </c>
      <c r="M25" s="113"/>
      <c r="N25" s="83" t="e">
        <f ca="1">IF(IFERROR(MATCH("*leave*",OFFSET(Budget!#REF!,N24,0,ROWS(#REF!),1),0)+N24,999)&lt;ROWS(#REF!),IFERROR(MATCH("*leave*",OFFSET(Budget!#REF!,N24,0,ROWS(#REF!),1),0)+N24,999),"")</f>
        <v>#REF!</v>
      </c>
      <c r="O25" s="88" t="str">
        <f ca="1">IFERROR(INDEX(#REF!,N25)*INDEX(#REF!,N25),"")</f>
        <v/>
      </c>
      <c r="P25" s="113"/>
      <c r="Q25" s="83" t="e">
        <f ca="1">IF(MIN(IFERROR(MATCH("*PostDoc*",OFFSET(Budget!#REF!,Q24,0,ROWS(#REF!)-Q24,1),0)+Q24,999),IFERROR(MATCH("*PhD*",OFFSET(Budget!#REF!,Q24,0,ROWS(#REF!)-Q24,1),0)+Q24,999),IFERROR(MATCH("*PDEng*",OFFSET(Budget!#REF!,Q24,0,ROWS(#REF!)-Q24,1),0)+Q24,999),IFERROR(MATCH("*Doctorate*",OFFSET(Budget!#REF!,Q24,0,ROWS(#REF!)-Q24,1),0)+Q24,999))&lt;ROWS(#REF!),MIN(IFERROR(MATCH("*PostDoc*",OFFSET(Budget!#REF!,Q24,0,ROWS(#REF!)-Q24,1),0)+Q24,999),IFERROR(MATCH("*PhD*",OFFSET(Budget!#REF!,Q24,0,ROWS(#REF!)-Q24,1),0)+Q24,999),IFERROR(MATCH("*PDEng*",OFFSET(Budget!#REF!,Q24,0,ROWS(#REF!)-Q24,1),0)+Q24,999),IFERROR(MATCH("*Doctorate*",OFFSET(Budget!#REF!,Q24,0,ROWS(#REF!)-Q24,1),0)+Q24,999)),"")</f>
        <v>#REF!</v>
      </c>
      <c r="R25" s="113" t="str">
        <f ca="1">IFERROR(INDEX(#REF!,Q25),"")</f>
        <v/>
      </c>
      <c r="S25" s="113" t="str">
        <f ca="1">IFERROR(INDEX(#REF!,Q25),"")</f>
        <v/>
      </c>
      <c r="T25" s="113" t="str">
        <f ca="1">IFERROR(INDEX(#REF!,Q25),"")</f>
        <v/>
      </c>
      <c r="U25" s="113" t="str">
        <f ca="1">SUBSTITUTE(IFERROR(INDEX(#REF!,Q25),""),0,"")</f>
        <v/>
      </c>
      <c r="V25" s="132" t="str">
        <f ca="1">SUBSTITUTE(IFERROR(INDEX(#REF!,Q25),""),0,"")</f>
        <v/>
      </c>
      <c r="W25" s="113"/>
      <c r="X25" s="133" t="e">
        <f>IF(ROW(E1562)-ROW($E$1548)&lt;ROWS(#REF!),IFERROR(IF(INDEX(list_cofunders[private?],MATCH(Budget!#REF!,list_cofunders[list cofunders],0),1)="yes",Budget!#REF!,""),""),"")</f>
        <v>#REF!</v>
      </c>
      <c r="Y25" s="134" t="e">
        <f>IF(ROW(E1665)-ROW($E$1651)&lt;ROWS(#REF!),IFERROR(IF(INDEX(list_cofunders[private?],MATCH(Budget!#REF!,list_cofunders[list cofunders],0),1)="yes",Budget!#REF!,""),""),"")</f>
        <v>#REF!</v>
      </c>
      <c r="Z25" s="113" t="str">
        <f>IFERROR(INDEX(#REF!,X25),"")</f>
        <v/>
      </c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CZ25" s="22"/>
      <c r="DA25" s="22"/>
      <c r="DB25" s="22"/>
      <c r="DC25" s="22"/>
      <c r="DD25" s="22"/>
      <c r="DE25" s="22"/>
      <c r="DF25" s="22"/>
      <c r="DG25" s="22"/>
      <c r="DH25" s="22"/>
    </row>
    <row r="26" spans="2:112" s="21" customFormat="1" ht="11.25" customHeight="1" outlineLevel="1" x14ac:dyDescent="0.35">
      <c r="B26" s="83" t="e">
        <f ca="1">IF(IFERROR(MATCH("*Other*",OFFSET(Budget!#REF!,B25,0,ROWS(#REF!),1),0)+B25,999)&lt;ROWS(#REF!),IFERROR(MATCH("*Other*",OFFSET(Budget!#REF!,B25,0,ROWS(#REF!),1),0)+B25,999),"")</f>
        <v>#REF!</v>
      </c>
      <c r="C26" s="70" t="str">
        <f ca="1">IFERROR(INDEX(#REF!,B26),"")</f>
        <v/>
      </c>
      <c r="E26" s="83" t="e">
        <f ca="1">IF(MIN(IFERROR(MATCH("*PostDoc*",OFFSET(Budget!#REF!,E25,0,ROWS(#REF!),1),0)+E25,999),IFERROR(MATCH("*PhD*",OFFSET(Budget!#REF!,E25,0,ROWS(#REF!),1),0)+E25,999),IFERROR(MATCH("*PDEng*",OFFSET(Budget!#REF!,E25,0,ROWS(#REF!),1),0)+E25,999))&lt;ROWS(#REF!),MIN(IFERROR(MATCH("*PostDoc*",OFFSET(Budget!#REF!,E25,0,ROWS(#REF!),1),0)+E25,999),IFERROR(MATCH("*PhD*",OFFSET(Budget!#REF!,E25,0,ROWS(#REF!),1),0)+E25,999),IFERROR(MATCH("*PDEng*",OFFSET(Budget!#REF!,E25,0,ROWS(#REF!),1),0)+E25,999)),"")</f>
        <v>#REF!</v>
      </c>
      <c r="F26" s="74" t="str">
        <f ca="1">IFERROR(INDEX(#REF!,E26)*INDEX(#REF!,E26)/12,"")</f>
        <v/>
      </c>
      <c r="G26" s="90"/>
      <c r="H26" s="83" t="e">
        <f ca="1">IF(IFERROR(MATCH("*researcher*",OFFSET(Budget!#REF!,H25,0,ROWS(#REF!),1),0)+H25,999)&lt;ROWS(#REF!),IFERROR(MATCH("*researcher*",OFFSET(Budget!#REF!,H25,0,ROWS(#REF!),1),0)+H25,999),"")</f>
        <v>#REF!</v>
      </c>
      <c r="I26" s="74" t="str">
        <f ca="1">IF(ISERROR(IF(AND(INDEX(#REF!,H26)&gt;=pers_oi_min_months,INDEX(#REF!,H26)/INDEX(#REF!,H26)*12/pers_other_nrhours_year&gt;=pers_oi_minFTE)=TRUE,INDEX(#REF!,H26)/12,0)),"",IF(AND(INDEX(#REF!,H26)&gt;=pers_oi_min_months,INDEX(#REF!,H26)/INDEX(#REF!,H26)*12/pers_other_nrhours_year&gt;=pers_oi_minFTE)=TRUE,INDEX(#REF!,H26)/12,""))</f>
        <v/>
      </c>
      <c r="J26" s="90"/>
      <c r="K26" s="83" t="e">
        <f ca="1">IF(IFERROR(MATCH("*Non-scientific*",OFFSET(Budget!#REF!,K25,0,ROWS(#REF!),1),0)+K25,999)&lt;ROWS(#REF!),IFERROR(MATCH("*Non-scientific*",OFFSET(Budget!#REF!,K25,0,ROWS(#REF!),1),0)+K25,999),"")</f>
        <v>#REF!</v>
      </c>
      <c r="L26" s="70" t="str">
        <f ca="1">IFERROR(INDEX(#REF!,K26),"")</f>
        <v/>
      </c>
      <c r="M26" s="113"/>
      <c r="N26" s="83" t="e">
        <f ca="1">IF(IFERROR(MATCH("*leave*",OFFSET(Budget!#REF!,N25,0,ROWS(#REF!),1),0)+N25,999)&lt;ROWS(#REF!),IFERROR(MATCH("*leave*",OFFSET(Budget!#REF!,N25,0,ROWS(#REF!),1),0)+N25,999),"")</f>
        <v>#REF!</v>
      </c>
      <c r="O26" s="88" t="str">
        <f ca="1">IFERROR(INDEX(#REF!,N26)*INDEX(#REF!,N26),"")</f>
        <v/>
      </c>
      <c r="P26" s="113"/>
      <c r="Q26" s="83" t="e">
        <f ca="1">IF(MIN(IFERROR(MATCH("*PostDoc*",OFFSET(Budget!#REF!,Q25,0,ROWS(#REF!)-Q25,1),0)+Q25,999),IFERROR(MATCH("*PhD*",OFFSET(Budget!#REF!,Q25,0,ROWS(#REF!)-Q25,1),0)+Q25,999),IFERROR(MATCH("*PDEng*",OFFSET(Budget!#REF!,Q25,0,ROWS(#REF!)-Q25,1),0)+Q25,999),IFERROR(MATCH("*Doctorate*",OFFSET(Budget!#REF!,Q25,0,ROWS(#REF!)-Q25,1),0)+Q25,999))&lt;ROWS(#REF!),MIN(IFERROR(MATCH("*PostDoc*",OFFSET(Budget!#REF!,Q25,0,ROWS(#REF!)-Q25,1),0)+Q25,999),IFERROR(MATCH("*PhD*",OFFSET(Budget!#REF!,Q25,0,ROWS(#REF!)-Q25,1),0)+Q25,999),IFERROR(MATCH("*PDEng*",OFFSET(Budget!#REF!,Q25,0,ROWS(#REF!)-Q25,1),0)+Q25,999),IFERROR(MATCH("*Doctorate*",OFFSET(Budget!#REF!,Q25,0,ROWS(#REF!)-Q25,1),0)+Q25,999)),"")</f>
        <v>#REF!</v>
      </c>
      <c r="R26" s="113" t="str">
        <f ca="1">IFERROR(INDEX(#REF!,Q26),"")</f>
        <v/>
      </c>
      <c r="S26" s="113" t="str">
        <f ca="1">IFERROR(INDEX(#REF!,Q26),"")</f>
        <v/>
      </c>
      <c r="T26" s="113" t="str">
        <f ca="1">IFERROR(INDEX(#REF!,Q26),"")</f>
        <v/>
      </c>
      <c r="U26" s="113" t="str">
        <f ca="1">SUBSTITUTE(IFERROR(INDEX(#REF!,Q26),""),0,"")</f>
        <v/>
      </c>
      <c r="V26" s="132" t="str">
        <f ca="1">SUBSTITUTE(IFERROR(INDEX(#REF!,Q26),""),0,"")</f>
        <v/>
      </c>
      <c r="W26" s="113"/>
      <c r="X26" s="133" t="e">
        <f>IF(ROW(E1563)-ROW($E$1548)&lt;ROWS(#REF!),IFERROR(IF(INDEX(list_cofunders[private?],MATCH(Budget!#REF!,list_cofunders[list cofunders],0),1)="yes",Budget!#REF!,""),""),"")</f>
        <v>#REF!</v>
      </c>
      <c r="Y26" s="134" t="e">
        <f>IF(ROW(E1666)-ROW($E$1651)&lt;ROWS(#REF!),IFERROR(IF(INDEX(list_cofunders[private?],MATCH(Budget!#REF!,list_cofunders[list cofunders],0),1)="yes",Budget!#REF!,""),""),"")</f>
        <v>#REF!</v>
      </c>
      <c r="Z26" s="113" t="str">
        <f>IFERROR(INDEX(#REF!,X26),"")</f>
        <v/>
      </c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CZ26" s="22"/>
      <c r="DA26" s="22"/>
      <c r="DB26" s="22"/>
      <c r="DC26" s="22"/>
      <c r="DD26" s="22"/>
      <c r="DE26" s="22"/>
      <c r="DF26" s="22"/>
      <c r="DG26" s="22"/>
      <c r="DH26" s="22"/>
    </row>
    <row r="27" spans="2:112" s="21" customFormat="1" ht="11.25" customHeight="1" outlineLevel="1" x14ac:dyDescent="0.35">
      <c r="B27" s="83" t="e">
        <f ca="1">IF(IFERROR(MATCH("*Other*",OFFSET(Budget!#REF!,B26,0,ROWS(#REF!),1),0)+B26,999)&lt;ROWS(#REF!),IFERROR(MATCH("*Other*",OFFSET(Budget!#REF!,B26,0,ROWS(#REF!),1),0)+B26,999),"")</f>
        <v>#REF!</v>
      </c>
      <c r="C27" s="70" t="str">
        <f ca="1">IFERROR(INDEX(#REF!,B27),"")</f>
        <v/>
      </c>
      <c r="E27" s="83" t="e">
        <f ca="1">IF(MIN(IFERROR(MATCH("*PostDoc*",OFFSET(Budget!#REF!,E26,0,ROWS(#REF!),1),0)+E26,999),IFERROR(MATCH("*PhD*",OFFSET(Budget!#REF!,E26,0,ROWS(#REF!),1),0)+E26,999),IFERROR(MATCH("*PDEng*",OFFSET(Budget!#REF!,E26,0,ROWS(#REF!),1),0)+E26,999))&lt;ROWS(#REF!),MIN(IFERROR(MATCH("*PostDoc*",OFFSET(Budget!#REF!,E26,0,ROWS(#REF!),1),0)+E26,999),IFERROR(MATCH("*PhD*",OFFSET(Budget!#REF!,E26,0,ROWS(#REF!),1),0)+E26,999),IFERROR(MATCH("*PDEng*",OFFSET(Budget!#REF!,E26,0,ROWS(#REF!),1),0)+E26,999)),"")</f>
        <v>#REF!</v>
      </c>
      <c r="F27" s="74" t="str">
        <f ca="1">IFERROR(INDEX(#REF!,E27)*INDEX(#REF!,E27)/12,"")</f>
        <v/>
      </c>
      <c r="G27" s="90"/>
      <c r="H27" s="83" t="e">
        <f ca="1">IF(IFERROR(MATCH("*researcher*",OFFSET(Budget!#REF!,H26,0,ROWS(#REF!),1),0)+H26,999)&lt;ROWS(#REF!),IFERROR(MATCH("*researcher*",OFFSET(Budget!#REF!,H26,0,ROWS(#REF!),1),0)+H26,999),"")</f>
        <v>#REF!</v>
      </c>
      <c r="I27" s="74" t="str">
        <f ca="1">IF(ISERROR(IF(AND(INDEX(#REF!,H27)&gt;=pers_oi_min_months,INDEX(#REF!,H27)/INDEX(#REF!,H27)*12/pers_other_nrhours_year&gt;=pers_oi_minFTE)=TRUE,INDEX(#REF!,H27)/12,0)),"",IF(AND(INDEX(#REF!,H27)&gt;=pers_oi_min_months,INDEX(#REF!,H27)/INDEX(#REF!,H27)*12/pers_other_nrhours_year&gt;=pers_oi_minFTE)=TRUE,INDEX(#REF!,H27)/12,""))</f>
        <v/>
      </c>
      <c r="J27" s="90"/>
      <c r="K27" s="83" t="e">
        <f ca="1">IF(IFERROR(MATCH("*Non-scientific*",OFFSET(Budget!#REF!,K26,0,ROWS(#REF!),1),0)+K26,999)&lt;ROWS(#REF!),IFERROR(MATCH("*Non-scientific*",OFFSET(Budget!#REF!,K26,0,ROWS(#REF!),1),0)+K26,999),"")</f>
        <v>#REF!</v>
      </c>
      <c r="L27" s="70" t="str">
        <f ca="1">IFERROR(INDEX(#REF!,K27),"")</f>
        <v/>
      </c>
      <c r="M27" s="113"/>
      <c r="N27" s="83" t="e">
        <f ca="1">IF(IFERROR(MATCH("*leave*",OFFSET(Budget!#REF!,N26,0,ROWS(#REF!),1),0)+N26,999)&lt;ROWS(#REF!),IFERROR(MATCH("*leave*",OFFSET(Budget!#REF!,N26,0,ROWS(#REF!),1),0)+N26,999),"")</f>
        <v>#REF!</v>
      </c>
      <c r="O27" s="88" t="str">
        <f ca="1">IFERROR(INDEX(#REF!,N27)*INDEX(#REF!,N27),"")</f>
        <v/>
      </c>
      <c r="P27" s="113"/>
      <c r="Q27" s="83" t="e">
        <f ca="1">IF(MIN(IFERROR(MATCH("*PostDoc*",OFFSET(Budget!#REF!,Q26,0,ROWS(#REF!)-Q26,1),0)+Q26,999),IFERROR(MATCH("*PhD*",OFFSET(Budget!#REF!,Q26,0,ROWS(#REF!)-Q26,1),0)+Q26,999),IFERROR(MATCH("*PDEng*",OFFSET(Budget!#REF!,Q26,0,ROWS(#REF!)-Q26,1),0)+Q26,999),IFERROR(MATCH("*Doctorate*",OFFSET(Budget!#REF!,Q26,0,ROWS(#REF!)-Q26,1),0)+Q26,999))&lt;ROWS(#REF!),MIN(IFERROR(MATCH("*PostDoc*",OFFSET(Budget!#REF!,Q26,0,ROWS(#REF!)-Q26,1),0)+Q26,999),IFERROR(MATCH("*PhD*",OFFSET(Budget!#REF!,Q26,0,ROWS(#REF!)-Q26,1),0)+Q26,999),IFERROR(MATCH("*PDEng*",OFFSET(Budget!#REF!,Q26,0,ROWS(#REF!)-Q26,1),0)+Q26,999),IFERROR(MATCH("*Doctorate*",OFFSET(Budget!#REF!,Q26,0,ROWS(#REF!)-Q26,1),0)+Q26,999)),"")</f>
        <v>#REF!</v>
      </c>
      <c r="R27" s="113" t="str">
        <f ca="1">IFERROR(INDEX(#REF!,Q27),"")</f>
        <v/>
      </c>
      <c r="S27" s="113" t="str">
        <f ca="1">IFERROR(INDEX(#REF!,Q27),"")</f>
        <v/>
      </c>
      <c r="T27" s="113" t="str">
        <f ca="1">IFERROR(INDEX(#REF!,Q27),"")</f>
        <v/>
      </c>
      <c r="U27" s="113" t="str">
        <f ca="1">SUBSTITUTE(IFERROR(INDEX(#REF!,Q27),""),0,"")</f>
        <v/>
      </c>
      <c r="V27" s="132" t="str">
        <f ca="1">SUBSTITUTE(IFERROR(INDEX(#REF!,Q27),""),0,"")</f>
        <v/>
      </c>
      <c r="W27" s="113"/>
      <c r="X27" s="133" t="e">
        <f>IF(ROW(E1564)-ROW($E$1548)&lt;ROWS(#REF!),IFERROR(IF(INDEX(list_cofunders[private?],MATCH(Budget!#REF!,list_cofunders[list cofunders],0),1)="yes",Budget!#REF!,""),""),"")</f>
        <v>#REF!</v>
      </c>
      <c r="Y27" s="134" t="e">
        <f>IF(ROW(E1667)-ROW($E$1651)&lt;ROWS(#REF!),IFERROR(IF(INDEX(list_cofunders[private?],MATCH(Budget!#REF!,list_cofunders[list cofunders],0),1)="yes",Budget!#REF!,""),""),"")</f>
        <v>#REF!</v>
      </c>
      <c r="Z27" s="113" t="str">
        <f>IFERROR(INDEX(#REF!,X27),"")</f>
        <v/>
      </c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CZ27" s="22"/>
      <c r="DA27" s="22"/>
      <c r="DB27" s="22"/>
      <c r="DC27" s="22"/>
      <c r="DD27" s="22"/>
      <c r="DE27" s="22"/>
      <c r="DF27" s="22"/>
      <c r="DG27" s="22"/>
      <c r="DH27" s="22"/>
    </row>
    <row r="28" spans="2:112" s="21" customFormat="1" ht="11.25" customHeight="1" outlineLevel="1" x14ac:dyDescent="0.35">
      <c r="B28" s="83" t="e">
        <f ca="1">IF(IFERROR(MATCH("*Other*",OFFSET(Budget!#REF!,B27,0,ROWS(#REF!),1),0)+B27,999)&lt;ROWS(#REF!),IFERROR(MATCH("*Other*",OFFSET(Budget!#REF!,B27,0,ROWS(#REF!),1),0)+B27,999),"")</f>
        <v>#REF!</v>
      </c>
      <c r="C28" s="70" t="str">
        <f ca="1">IFERROR(INDEX(#REF!,B28),"")</f>
        <v/>
      </c>
      <c r="E28" s="83" t="e">
        <f ca="1">IF(MIN(IFERROR(MATCH("*PostDoc*",OFFSET(Budget!#REF!,E27,0,ROWS(#REF!),1),0)+E27,999),IFERROR(MATCH("*PhD*",OFFSET(Budget!#REF!,E27,0,ROWS(#REF!),1),0)+E27,999),IFERROR(MATCH("*PDEng*",OFFSET(Budget!#REF!,E27,0,ROWS(#REF!),1),0)+E27,999))&lt;ROWS(#REF!),MIN(IFERROR(MATCH("*PostDoc*",OFFSET(Budget!#REF!,E27,0,ROWS(#REF!),1),0)+E27,999),IFERROR(MATCH("*PhD*",OFFSET(Budget!#REF!,E27,0,ROWS(#REF!),1),0)+E27,999),IFERROR(MATCH("*PDEng*",OFFSET(Budget!#REF!,E27,0,ROWS(#REF!),1),0)+E27,999)),"")</f>
        <v>#REF!</v>
      </c>
      <c r="F28" s="74" t="str">
        <f ca="1">IFERROR(INDEX(#REF!,E28)*INDEX(#REF!,E28)/12,"")</f>
        <v/>
      </c>
      <c r="G28" s="90"/>
      <c r="H28" s="83" t="e">
        <f ca="1">IF(IFERROR(MATCH("*researcher*",OFFSET(Budget!#REF!,H27,0,ROWS(#REF!),1),0)+H27,999)&lt;ROWS(#REF!),IFERROR(MATCH("*researcher*",OFFSET(Budget!#REF!,H27,0,ROWS(#REF!),1),0)+H27,999),"")</f>
        <v>#REF!</v>
      </c>
      <c r="I28" s="74" t="str">
        <f ca="1">IF(ISERROR(IF(AND(INDEX(#REF!,H28)&gt;=pers_oi_min_months,INDEX(#REF!,H28)/INDEX(#REF!,H28)*12/pers_other_nrhours_year&gt;=pers_oi_minFTE)=TRUE,INDEX(#REF!,H28)/12,0)),"",IF(AND(INDEX(#REF!,H28)&gt;=pers_oi_min_months,INDEX(#REF!,H28)/INDEX(#REF!,H28)*12/pers_other_nrhours_year&gt;=pers_oi_minFTE)=TRUE,INDEX(#REF!,H28)/12,""))</f>
        <v/>
      </c>
      <c r="J28" s="90"/>
      <c r="K28" s="83" t="e">
        <f ca="1">IF(IFERROR(MATCH("*Non-scientific*",OFFSET(Budget!#REF!,K27,0,ROWS(#REF!),1),0)+K27,999)&lt;ROWS(#REF!),IFERROR(MATCH("*Non-scientific*",OFFSET(Budget!#REF!,K27,0,ROWS(#REF!),1),0)+K27,999),"")</f>
        <v>#REF!</v>
      </c>
      <c r="L28" s="70" t="str">
        <f ca="1">IFERROR(INDEX(#REF!,K28),"")</f>
        <v/>
      </c>
      <c r="M28" s="113"/>
      <c r="N28" s="83" t="e">
        <f ca="1">IF(IFERROR(MATCH("*leave*",OFFSET(Budget!#REF!,N27,0,ROWS(#REF!),1),0)+N27,999)&lt;ROWS(#REF!),IFERROR(MATCH("*leave*",OFFSET(Budget!#REF!,N27,0,ROWS(#REF!),1),0)+N27,999),"")</f>
        <v>#REF!</v>
      </c>
      <c r="O28" s="88" t="str">
        <f ca="1">IFERROR(INDEX(#REF!,N28)*INDEX(#REF!,N28),"")</f>
        <v/>
      </c>
      <c r="P28" s="113"/>
      <c r="Q28" s="83" t="e">
        <f ca="1">IF(MIN(IFERROR(MATCH("*PostDoc*",OFFSET(Budget!#REF!,Q27,0,ROWS(#REF!)-Q27,1),0)+Q27,999),IFERROR(MATCH("*PhD*",OFFSET(Budget!#REF!,Q27,0,ROWS(#REF!)-Q27,1),0)+Q27,999),IFERROR(MATCH("*PDEng*",OFFSET(Budget!#REF!,Q27,0,ROWS(#REF!)-Q27,1),0)+Q27,999),IFERROR(MATCH("*Doctorate*",OFFSET(Budget!#REF!,Q27,0,ROWS(#REF!)-Q27,1),0)+Q27,999))&lt;ROWS(#REF!),MIN(IFERROR(MATCH("*PostDoc*",OFFSET(Budget!#REF!,Q27,0,ROWS(#REF!)-Q27,1),0)+Q27,999),IFERROR(MATCH("*PhD*",OFFSET(Budget!#REF!,Q27,0,ROWS(#REF!)-Q27,1),0)+Q27,999),IFERROR(MATCH("*PDEng*",OFFSET(Budget!#REF!,Q27,0,ROWS(#REF!)-Q27,1),0)+Q27,999),IFERROR(MATCH("*Doctorate*",OFFSET(Budget!#REF!,Q27,0,ROWS(#REF!)-Q27,1),0)+Q27,999)),"")</f>
        <v>#REF!</v>
      </c>
      <c r="R28" s="113" t="str">
        <f ca="1">IFERROR(INDEX(#REF!,Q28),"")</f>
        <v/>
      </c>
      <c r="S28" s="113" t="str">
        <f ca="1">IFERROR(INDEX(#REF!,Q28),"")</f>
        <v/>
      </c>
      <c r="T28" s="113" t="str">
        <f ca="1">IFERROR(INDEX(#REF!,Q28),"")</f>
        <v/>
      </c>
      <c r="U28" s="113" t="str">
        <f ca="1">SUBSTITUTE(IFERROR(INDEX(#REF!,Q28),""),0,"")</f>
        <v/>
      </c>
      <c r="V28" s="132" t="str">
        <f ca="1">SUBSTITUTE(IFERROR(INDEX(#REF!,Q28),""),0,"")</f>
        <v/>
      </c>
      <c r="W28" s="113"/>
      <c r="X28" s="133" t="e">
        <f>IF(ROW(E1565)-ROW($E$1548)&lt;ROWS(#REF!),IFERROR(IF(INDEX(list_cofunders[private?],MATCH(Budget!#REF!,list_cofunders[list cofunders],0),1)="yes",Budget!#REF!,""),""),"")</f>
        <v>#REF!</v>
      </c>
      <c r="Y28" s="134" t="e">
        <f>IF(ROW(E1668)-ROW($E$1651)&lt;ROWS(#REF!),IFERROR(IF(INDEX(list_cofunders[private?],MATCH(Budget!#REF!,list_cofunders[list cofunders],0),1)="yes",Budget!#REF!,""),""),"")</f>
        <v>#REF!</v>
      </c>
      <c r="Z28" s="113" t="str">
        <f>IFERROR(INDEX(#REF!,X28),"")</f>
        <v/>
      </c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CZ28" s="22"/>
      <c r="DA28" s="22"/>
      <c r="DB28" s="22"/>
      <c r="DC28" s="22"/>
      <c r="DD28" s="22"/>
      <c r="DE28" s="22"/>
      <c r="DF28" s="22"/>
      <c r="DG28" s="22"/>
      <c r="DH28" s="22"/>
    </row>
    <row r="29" spans="2:112" s="21" customFormat="1" ht="11.25" customHeight="1" outlineLevel="1" x14ac:dyDescent="0.35">
      <c r="B29" s="83" t="e">
        <f ca="1">IF(IFERROR(MATCH("*Other*",OFFSET(Budget!#REF!,B28,0,ROWS(#REF!),1),0)+B28,999)&lt;ROWS(#REF!),IFERROR(MATCH("*Other*",OFFSET(Budget!#REF!,B28,0,ROWS(#REF!),1),0)+B28,999),"")</f>
        <v>#REF!</v>
      </c>
      <c r="C29" s="70" t="str">
        <f ca="1">IFERROR(INDEX(#REF!,B29),"")</f>
        <v/>
      </c>
      <c r="E29" s="83" t="e">
        <f ca="1">IF(MIN(IFERROR(MATCH("*PostDoc*",OFFSET(Budget!#REF!,E28,0,ROWS(#REF!),1),0)+E28,999),IFERROR(MATCH("*PhD*",OFFSET(Budget!#REF!,E28,0,ROWS(#REF!),1),0)+E28,999),IFERROR(MATCH("*PDEng*",OFFSET(Budget!#REF!,E28,0,ROWS(#REF!),1),0)+E28,999))&lt;ROWS(#REF!),MIN(IFERROR(MATCH("*PostDoc*",OFFSET(Budget!#REF!,E28,0,ROWS(#REF!),1),0)+E28,999),IFERROR(MATCH("*PhD*",OFFSET(Budget!#REF!,E28,0,ROWS(#REF!),1),0)+E28,999),IFERROR(MATCH("*PDEng*",OFFSET(Budget!#REF!,E28,0,ROWS(#REF!),1),0)+E28,999)),"")</f>
        <v>#REF!</v>
      </c>
      <c r="F29" s="74" t="str">
        <f ca="1">IFERROR(INDEX(#REF!,E29)*INDEX(#REF!,E29)/12,"")</f>
        <v/>
      </c>
      <c r="G29" s="90"/>
      <c r="H29" s="83" t="e">
        <f ca="1">IF(IFERROR(MATCH("*researcher*",OFFSET(Budget!#REF!,H28,0,ROWS(#REF!),1),0)+H28,999)&lt;ROWS(#REF!),IFERROR(MATCH("*researcher*",OFFSET(Budget!#REF!,H28,0,ROWS(#REF!),1),0)+H28,999),"")</f>
        <v>#REF!</v>
      </c>
      <c r="I29" s="74" t="str">
        <f ca="1">IF(ISERROR(IF(AND(INDEX(#REF!,H29)&gt;=pers_oi_min_months,INDEX(#REF!,H29)/INDEX(#REF!,H29)*12/pers_other_nrhours_year&gt;=pers_oi_minFTE)=TRUE,INDEX(#REF!,H29)/12,0)),"",IF(AND(INDEX(#REF!,H29)&gt;=pers_oi_min_months,INDEX(#REF!,H29)/INDEX(#REF!,H29)*12/pers_other_nrhours_year&gt;=pers_oi_minFTE)=TRUE,INDEX(#REF!,H29)/12,""))</f>
        <v/>
      </c>
      <c r="J29" s="90"/>
      <c r="K29" s="83" t="e">
        <f ca="1">IF(IFERROR(MATCH("*Non-scientific*",OFFSET(Budget!#REF!,K28,0,ROWS(#REF!),1),0)+K28,999)&lt;ROWS(#REF!),IFERROR(MATCH("*Non-scientific*",OFFSET(Budget!#REF!,K28,0,ROWS(#REF!),1),0)+K28,999),"")</f>
        <v>#REF!</v>
      </c>
      <c r="L29" s="70" t="str">
        <f ca="1">IFERROR(INDEX(#REF!,K29),"")</f>
        <v/>
      </c>
      <c r="M29" s="113"/>
      <c r="N29" s="83" t="e">
        <f ca="1">IF(IFERROR(MATCH("*leave*",OFFSET(Budget!#REF!,N28,0,ROWS(#REF!),1),0)+N28,999)&lt;ROWS(#REF!),IFERROR(MATCH("*leave*",OFFSET(Budget!#REF!,N28,0,ROWS(#REF!),1),0)+N28,999),"")</f>
        <v>#REF!</v>
      </c>
      <c r="O29" s="88" t="str">
        <f ca="1">IFERROR(INDEX(#REF!,N29)*INDEX(#REF!,N29),"")</f>
        <v/>
      </c>
      <c r="P29" s="113"/>
      <c r="Q29" s="83" t="e">
        <f ca="1">IF(MIN(IFERROR(MATCH("*PostDoc*",OFFSET(Budget!#REF!,Q28,0,ROWS(#REF!)-Q28,1),0)+Q28,999),IFERROR(MATCH("*PhD*",OFFSET(Budget!#REF!,Q28,0,ROWS(#REF!)-Q28,1),0)+Q28,999),IFERROR(MATCH("*PDEng*",OFFSET(Budget!#REF!,Q28,0,ROWS(#REF!)-Q28,1),0)+Q28,999),IFERROR(MATCH("*Doctorate*",OFFSET(Budget!#REF!,Q28,0,ROWS(#REF!)-Q28,1),0)+Q28,999))&lt;ROWS(#REF!),MIN(IFERROR(MATCH("*PostDoc*",OFFSET(Budget!#REF!,Q28,0,ROWS(#REF!)-Q28,1),0)+Q28,999),IFERROR(MATCH("*PhD*",OFFSET(Budget!#REF!,Q28,0,ROWS(#REF!)-Q28,1),0)+Q28,999),IFERROR(MATCH("*PDEng*",OFFSET(Budget!#REF!,Q28,0,ROWS(#REF!)-Q28,1),0)+Q28,999),IFERROR(MATCH("*Doctorate*",OFFSET(Budget!#REF!,Q28,0,ROWS(#REF!)-Q28,1),0)+Q28,999)),"")</f>
        <v>#REF!</v>
      </c>
      <c r="R29" s="113" t="str">
        <f ca="1">IFERROR(INDEX(#REF!,Q29),"")</f>
        <v/>
      </c>
      <c r="S29" s="113" t="str">
        <f ca="1">IFERROR(INDEX(#REF!,Q29),"")</f>
        <v/>
      </c>
      <c r="T29" s="113" t="str">
        <f ca="1">IFERROR(INDEX(#REF!,Q29),"")</f>
        <v/>
      </c>
      <c r="U29" s="113" t="str">
        <f ca="1">SUBSTITUTE(IFERROR(INDEX(#REF!,Q29),""),0,"")</f>
        <v/>
      </c>
      <c r="V29" s="132" t="str">
        <f ca="1">SUBSTITUTE(IFERROR(INDEX(#REF!,Q29),""),0,"")</f>
        <v/>
      </c>
      <c r="W29" s="113"/>
      <c r="X29" s="133" t="e">
        <f>IF(ROW(E1566)-ROW($E$1548)&lt;ROWS(#REF!),IFERROR(IF(INDEX(list_cofunders[private?],MATCH(Budget!#REF!,list_cofunders[list cofunders],0),1)="yes",Budget!#REF!,""),""),"")</f>
        <v>#REF!</v>
      </c>
      <c r="Y29" s="134" t="e">
        <f>IF(ROW(E1669)-ROW($E$1651)&lt;ROWS(#REF!),IFERROR(IF(INDEX(list_cofunders[private?],MATCH(Budget!#REF!,list_cofunders[list cofunders],0),1)="yes",Budget!#REF!,""),""),"")</f>
        <v>#REF!</v>
      </c>
      <c r="Z29" s="113" t="str">
        <f>IFERROR(INDEX(#REF!,X29),"")</f>
        <v/>
      </c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CZ29" s="22"/>
      <c r="DA29" s="22"/>
      <c r="DB29" s="22"/>
      <c r="DC29" s="22"/>
      <c r="DD29" s="22"/>
      <c r="DE29" s="22"/>
      <c r="DF29" s="22"/>
      <c r="DG29" s="22"/>
      <c r="DH29" s="22"/>
    </row>
    <row r="30" spans="2:112" s="21" customFormat="1" ht="11.25" customHeight="1" outlineLevel="1" x14ac:dyDescent="0.35">
      <c r="B30" s="83" t="e">
        <f ca="1">IF(IFERROR(MATCH("*Other*",OFFSET(Budget!#REF!,B29,0,ROWS(#REF!),1),0)+B29,999)&lt;ROWS(#REF!),IFERROR(MATCH("*Other*",OFFSET(Budget!#REF!,B29,0,ROWS(#REF!),1),0)+B29,999),"")</f>
        <v>#REF!</v>
      </c>
      <c r="C30" s="70" t="str">
        <f ca="1">IFERROR(INDEX(#REF!,B30),"")</f>
        <v/>
      </c>
      <c r="E30" s="83" t="e">
        <f ca="1">IF(MIN(IFERROR(MATCH("*PostDoc*",OFFSET(Budget!#REF!,E29,0,ROWS(#REF!),1),0)+E29,999),IFERROR(MATCH("*PhD*",OFFSET(Budget!#REF!,E29,0,ROWS(#REF!),1),0)+E29,999),IFERROR(MATCH("*PDEng*",OFFSET(Budget!#REF!,E29,0,ROWS(#REF!),1),0)+E29,999))&lt;ROWS(#REF!),MIN(IFERROR(MATCH("*PostDoc*",OFFSET(Budget!#REF!,E29,0,ROWS(#REF!),1),0)+E29,999),IFERROR(MATCH("*PhD*",OFFSET(Budget!#REF!,E29,0,ROWS(#REF!),1),0)+E29,999),IFERROR(MATCH("*PDEng*",OFFSET(Budget!#REF!,E29,0,ROWS(#REF!),1),0)+E29,999)),"")</f>
        <v>#REF!</v>
      </c>
      <c r="F30" s="74" t="str">
        <f ca="1">IFERROR(INDEX(#REF!,E30)*INDEX(#REF!,E30)/12,"")</f>
        <v/>
      </c>
      <c r="G30" s="90"/>
      <c r="H30" s="83" t="e">
        <f ca="1">IF(IFERROR(MATCH("*researcher*",OFFSET(Budget!#REF!,H29,0,ROWS(#REF!),1),0)+H29,999)&lt;ROWS(#REF!),IFERROR(MATCH("*researcher*",OFFSET(Budget!#REF!,H29,0,ROWS(#REF!),1),0)+H29,999),"")</f>
        <v>#REF!</v>
      </c>
      <c r="I30" s="74" t="str">
        <f ca="1">IF(ISERROR(IF(AND(INDEX(#REF!,H30)&gt;=pers_oi_min_months,INDEX(#REF!,H30)/INDEX(#REF!,H30)*12/pers_other_nrhours_year&gt;=pers_oi_minFTE)=TRUE,INDEX(#REF!,H30)/12,0)),"",IF(AND(INDEX(#REF!,H30)&gt;=pers_oi_min_months,INDEX(#REF!,H30)/INDEX(#REF!,H30)*12/pers_other_nrhours_year&gt;=pers_oi_minFTE)=TRUE,INDEX(#REF!,H30)/12,""))</f>
        <v/>
      </c>
      <c r="J30" s="90"/>
      <c r="K30" s="83" t="e">
        <f ca="1">IF(IFERROR(MATCH("*Non-scientific*",OFFSET(Budget!#REF!,K29,0,ROWS(#REF!),1),0)+K29,999)&lt;ROWS(#REF!),IFERROR(MATCH("*Non-scientific*",OFFSET(Budget!#REF!,K29,0,ROWS(#REF!),1),0)+K29,999),"")</f>
        <v>#REF!</v>
      </c>
      <c r="L30" s="70" t="str">
        <f ca="1">IFERROR(INDEX(#REF!,K30),"")</f>
        <v/>
      </c>
      <c r="M30" s="113"/>
      <c r="N30" s="83" t="e">
        <f ca="1">IF(IFERROR(MATCH("*leave*",OFFSET(Budget!#REF!,N29,0,ROWS(#REF!),1),0)+N29,999)&lt;ROWS(#REF!),IFERROR(MATCH("*leave*",OFFSET(Budget!#REF!,N29,0,ROWS(#REF!),1),0)+N29,999),"")</f>
        <v>#REF!</v>
      </c>
      <c r="O30" s="88" t="str">
        <f ca="1">IFERROR(INDEX(#REF!,N30)*INDEX(#REF!,N30),"")</f>
        <v/>
      </c>
      <c r="P30" s="113"/>
      <c r="Q30" s="83" t="e">
        <f ca="1">IF(MIN(IFERROR(MATCH("*PostDoc*",OFFSET(Budget!#REF!,Q29,0,ROWS(#REF!)-Q29,1),0)+Q29,999),IFERROR(MATCH("*PhD*",OFFSET(Budget!#REF!,Q29,0,ROWS(#REF!)-Q29,1),0)+Q29,999),IFERROR(MATCH("*PDEng*",OFFSET(Budget!#REF!,Q29,0,ROWS(#REF!)-Q29,1),0)+Q29,999),IFERROR(MATCH("*Doctorate*",OFFSET(Budget!#REF!,Q29,0,ROWS(#REF!)-Q29,1),0)+Q29,999))&lt;ROWS(#REF!),MIN(IFERROR(MATCH("*PostDoc*",OFFSET(Budget!#REF!,Q29,0,ROWS(#REF!)-Q29,1),0)+Q29,999),IFERROR(MATCH("*PhD*",OFFSET(Budget!#REF!,Q29,0,ROWS(#REF!)-Q29,1),0)+Q29,999),IFERROR(MATCH("*PDEng*",OFFSET(Budget!#REF!,Q29,0,ROWS(#REF!)-Q29,1),0)+Q29,999),IFERROR(MATCH("*Doctorate*",OFFSET(Budget!#REF!,Q29,0,ROWS(#REF!)-Q29,1),0)+Q29,999)),"")</f>
        <v>#REF!</v>
      </c>
      <c r="R30" s="113" t="str">
        <f ca="1">IFERROR(INDEX(#REF!,Q30),"")</f>
        <v/>
      </c>
      <c r="S30" s="113" t="str">
        <f ca="1">IFERROR(INDEX(#REF!,Q30),"")</f>
        <v/>
      </c>
      <c r="T30" s="113" t="str">
        <f ca="1">IFERROR(INDEX(#REF!,Q30),"")</f>
        <v/>
      </c>
      <c r="U30" s="113" t="str">
        <f ca="1">SUBSTITUTE(IFERROR(INDEX(#REF!,Q30),""),0,"")</f>
        <v/>
      </c>
      <c r="V30" s="132" t="str">
        <f ca="1">SUBSTITUTE(IFERROR(INDEX(#REF!,Q30),""),0,"")</f>
        <v/>
      </c>
      <c r="W30" s="113"/>
      <c r="X30" s="133" t="e">
        <f>IF(ROW(E1567)-ROW($E$1548)&lt;ROWS(#REF!),IFERROR(IF(INDEX(list_cofunders[private?],MATCH(Budget!#REF!,list_cofunders[list cofunders],0),1)="yes",Budget!#REF!,""),""),"")</f>
        <v>#REF!</v>
      </c>
      <c r="Y30" s="134" t="e">
        <f>IF(ROW(E1670)-ROW($E$1651)&lt;ROWS(#REF!),IFERROR(IF(INDEX(list_cofunders[private?],MATCH(Budget!#REF!,list_cofunders[list cofunders],0),1)="yes",Budget!#REF!,""),""),"")</f>
        <v>#REF!</v>
      </c>
      <c r="Z30" s="113" t="str">
        <f>IFERROR(INDEX(#REF!,X30),"")</f>
        <v/>
      </c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CZ30" s="22"/>
      <c r="DA30" s="22"/>
      <c r="DB30" s="22"/>
      <c r="DC30" s="22"/>
      <c r="DD30" s="22"/>
      <c r="DE30" s="22"/>
      <c r="DF30" s="22"/>
      <c r="DG30" s="22"/>
      <c r="DH30" s="22"/>
    </row>
    <row r="31" spans="2:112" s="21" customFormat="1" ht="11.25" customHeight="1" outlineLevel="1" x14ac:dyDescent="0.35">
      <c r="B31" s="83" t="e">
        <f ca="1">IF(IFERROR(MATCH("*Other*",OFFSET(Budget!#REF!,B30,0,ROWS(#REF!),1),0)+B30,999)&lt;ROWS(#REF!),IFERROR(MATCH("*Other*",OFFSET(Budget!#REF!,B30,0,ROWS(#REF!),1),0)+B30,999),"")</f>
        <v>#REF!</v>
      </c>
      <c r="C31" s="70" t="str">
        <f ca="1">IFERROR(INDEX(#REF!,B31),"")</f>
        <v/>
      </c>
      <c r="E31" s="83" t="e">
        <f ca="1">IF(MIN(IFERROR(MATCH("*PostDoc*",OFFSET(Budget!#REF!,E30,0,ROWS(#REF!),1),0)+E30,999),IFERROR(MATCH("*PhD*",OFFSET(Budget!#REF!,E30,0,ROWS(#REF!),1),0)+E30,999),IFERROR(MATCH("*PDEng*",OFFSET(Budget!#REF!,E30,0,ROWS(#REF!),1),0)+E30,999))&lt;ROWS(#REF!),MIN(IFERROR(MATCH("*PostDoc*",OFFSET(Budget!#REF!,E30,0,ROWS(#REF!),1),0)+E30,999),IFERROR(MATCH("*PhD*",OFFSET(Budget!#REF!,E30,0,ROWS(#REF!),1),0)+E30,999),IFERROR(MATCH("*PDEng*",OFFSET(Budget!#REF!,E30,0,ROWS(#REF!),1),0)+E30,999)),"")</f>
        <v>#REF!</v>
      </c>
      <c r="F31" s="74" t="str">
        <f ca="1">IFERROR(INDEX(#REF!,E31)*INDEX(#REF!,E31)/12,"")</f>
        <v/>
      </c>
      <c r="G31" s="90"/>
      <c r="H31" s="83" t="e">
        <f ca="1">IF(IFERROR(MATCH("*researcher*",OFFSET(Budget!#REF!,H30,0,ROWS(#REF!),1),0)+H30,999)&lt;ROWS(#REF!),IFERROR(MATCH("*researcher*",OFFSET(Budget!#REF!,H30,0,ROWS(#REF!),1),0)+H30,999),"")</f>
        <v>#REF!</v>
      </c>
      <c r="I31" s="74" t="str">
        <f ca="1">IF(ISERROR(IF(AND(INDEX(#REF!,H31)&gt;=pers_oi_min_months,INDEX(#REF!,H31)/INDEX(#REF!,H31)*12/pers_other_nrhours_year&gt;=pers_oi_minFTE)=TRUE,INDEX(#REF!,H31)/12,0)),"",IF(AND(INDEX(#REF!,H31)&gt;=pers_oi_min_months,INDEX(#REF!,H31)/INDEX(#REF!,H31)*12/pers_other_nrhours_year&gt;=pers_oi_minFTE)=TRUE,INDEX(#REF!,H31)/12,""))</f>
        <v/>
      </c>
      <c r="J31" s="90"/>
      <c r="K31" s="83" t="e">
        <f ca="1">IF(IFERROR(MATCH("*Non-scientific*",OFFSET(Budget!#REF!,K30,0,ROWS(#REF!),1),0)+K30,999)&lt;ROWS(#REF!),IFERROR(MATCH("*Non-scientific*",OFFSET(Budget!#REF!,K30,0,ROWS(#REF!),1),0)+K30,999),"")</f>
        <v>#REF!</v>
      </c>
      <c r="L31" s="70" t="str">
        <f ca="1">IFERROR(INDEX(#REF!,K31),"")</f>
        <v/>
      </c>
      <c r="M31" s="113"/>
      <c r="N31" s="83" t="e">
        <f ca="1">IF(IFERROR(MATCH("*leave*",OFFSET(Budget!#REF!,N30,0,ROWS(#REF!),1),0)+N30,999)&lt;ROWS(#REF!),IFERROR(MATCH("*leave*",OFFSET(Budget!#REF!,N30,0,ROWS(#REF!),1),0)+N30,999),"")</f>
        <v>#REF!</v>
      </c>
      <c r="O31" s="88" t="str">
        <f ca="1">IFERROR(INDEX(#REF!,N31)*INDEX(#REF!,N31),"")</f>
        <v/>
      </c>
      <c r="P31" s="113"/>
      <c r="Q31" s="83" t="e">
        <f ca="1">IF(MIN(IFERROR(MATCH("*PostDoc*",OFFSET(Budget!#REF!,Q30,0,ROWS(#REF!)-Q30,1),0)+Q30,999),IFERROR(MATCH("*PhD*",OFFSET(Budget!#REF!,Q30,0,ROWS(#REF!)-Q30,1),0)+Q30,999),IFERROR(MATCH("*PDEng*",OFFSET(Budget!#REF!,Q30,0,ROWS(#REF!)-Q30,1),0)+Q30,999),IFERROR(MATCH("*Doctorate*",OFFSET(Budget!#REF!,Q30,0,ROWS(#REF!)-Q30,1),0)+Q30,999))&lt;ROWS(#REF!),MIN(IFERROR(MATCH("*PostDoc*",OFFSET(Budget!#REF!,Q30,0,ROWS(#REF!)-Q30,1),0)+Q30,999),IFERROR(MATCH("*PhD*",OFFSET(Budget!#REF!,Q30,0,ROWS(#REF!)-Q30,1),0)+Q30,999),IFERROR(MATCH("*PDEng*",OFFSET(Budget!#REF!,Q30,0,ROWS(#REF!)-Q30,1),0)+Q30,999),IFERROR(MATCH("*Doctorate*",OFFSET(Budget!#REF!,Q30,0,ROWS(#REF!)-Q30,1),0)+Q30,999)),"")</f>
        <v>#REF!</v>
      </c>
      <c r="R31" s="113" t="str">
        <f ca="1">IFERROR(INDEX(#REF!,Q31),"")</f>
        <v/>
      </c>
      <c r="S31" s="113" t="str">
        <f ca="1">IFERROR(INDEX(#REF!,Q31),"")</f>
        <v/>
      </c>
      <c r="T31" s="113" t="str">
        <f ca="1">IFERROR(INDEX(#REF!,Q31),"")</f>
        <v/>
      </c>
      <c r="U31" s="113" t="str">
        <f ca="1">SUBSTITUTE(IFERROR(INDEX(#REF!,Q31),""),0,"")</f>
        <v/>
      </c>
      <c r="V31" s="132" t="str">
        <f ca="1">SUBSTITUTE(IFERROR(INDEX(#REF!,Q31),""),0,"")</f>
        <v/>
      </c>
      <c r="W31" s="113"/>
      <c r="X31" s="133" t="e">
        <f>IF(ROW(E1568)-ROW($E$1548)&lt;ROWS(#REF!),IFERROR(IF(INDEX(list_cofunders[private?],MATCH(Budget!#REF!,list_cofunders[list cofunders],0),1)="yes",Budget!#REF!,""),""),"")</f>
        <v>#REF!</v>
      </c>
      <c r="Y31" s="134" t="e">
        <f>IF(ROW(E1671)-ROW($E$1651)&lt;ROWS(#REF!),IFERROR(IF(INDEX(list_cofunders[private?],MATCH(Budget!#REF!,list_cofunders[list cofunders],0),1)="yes",Budget!#REF!,""),""),"")</f>
        <v>#REF!</v>
      </c>
      <c r="Z31" s="113" t="str">
        <f>IFERROR(INDEX(#REF!,X31),"")</f>
        <v/>
      </c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CZ31" s="22"/>
      <c r="DA31" s="22"/>
      <c r="DB31" s="22"/>
      <c r="DC31" s="22"/>
      <c r="DD31" s="22"/>
      <c r="DE31" s="22"/>
      <c r="DF31" s="22"/>
      <c r="DG31" s="22"/>
      <c r="DH31" s="22"/>
    </row>
    <row r="32" spans="2:112" s="21" customFormat="1" ht="11.25" customHeight="1" outlineLevel="1" x14ac:dyDescent="0.35">
      <c r="B32" s="83" t="e">
        <f ca="1">IF(IFERROR(MATCH("*Other*",OFFSET(Budget!#REF!,B31,0,ROWS(#REF!),1),0)+B31,999)&lt;ROWS(#REF!),IFERROR(MATCH("*Other*",OFFSET(Budget!#REF!,B31,0,ROWS(#REF!),1),0)+B31,999),"")</f>
        <v>#REF!</v>
      </c>
      <c r="C32" s="70" t="str">
        <f ca="1">IFERROR(INDEX(#REF!,B32),"")</f>
        <v/>
      </c>
      <c r="E32" s="83" t="e">
        <f ca="1">IF(MIN(IFERROR(MATCH("*PostDoc*",OFFSET(Budget!#REF!,E31,0,ROWS(#REF!),1),0)+E31,999),IFERROR(MATCH("*PhD*",OFFSET(Budget!#REF!,E31,0,ROWS(#REF!),1),0)+E31,999),IFERROR(MATCH("*PDEng*",OFFSET(Budget!#REF!,E31,0,ROWS(#REF!),1),0)+E31,999))&lt;ROWS(#REF!),MIN(IFERROR(MATCH("*PostDoc*",OFFSET(Budget!#REF!,E31,0,ROWS(#REF!),1),0)+E31,999),IFERROR(MATCH("*PhD*",OFFSET(Budget!#REF!,E31,0,ROWS(#REF!),1),0)+E31,999),IFERROR(MATCH("*PDEng*",OFFSET(Budget!#REF!,E31,0,ROWS(#REF!),1),0)+E31,999)),"")</f>
        <v>#REF!</v>
      </c>
      <c r="F32" s="74" t="str">
        <f ca="1">IFERROR(INDEX(#REF!,E32)*INDEX(#REF!,E32)/12,"")</f>
        <v/>
      </c>
      <c r="G32" s="90"/>
      <c r="H32" s="83" t="e">
        <f ca="1">IF(IFERROR(MATCH("*researcher*",OFFSET(Budget!#REF!,H31,0,ROWS(#REF!),1),0)+H31,999)&lt;ROWS(#REF!),IFERROR(MATCH("*researcher*",OFFSET(Budget!#REF!,H31,0,ROWS(#REF!),1),0)+H31,999),"")</f>
        <v>#REF!</v>
      </c>
      <c r="I32" s="74" t="str">
        <f ca="1">IF(ISERROR(IF(AND(INDEX(#REF!,H32)&gt;=pers_oi_min_months,INDEX(#REF!,H32)/INDEX(#REF!,H32)*12/pers_other_nrhours_year&gt;=pers_oi_minFTE)=TRUE,INDEX(#REF!,H32)/12,0)),"",IF(AND(INDEX(#REF!,H32)&gt;=pers_oi_min_months,INDEX(#REF!,H32)/INDEX(#REF!,H32)*12/pers_other_nrhours_year&gt;=pers_oi_minFTE)=TRUE,INDEX(#REF!,H32)/12,""))</f>
        <v/>
      </c>
      <c r="J32" s="90"/>
      <c r="K32" s="83" t="e">
        <f ca="1">IF(IFERROR(MATCH("*Non-scientific*",OFFSET(Budget!#REF!,K31,0,ROWS(#REF!),1),0)+K31,999)&lt;ROWS(#REF!),IFERROR(MATCH("*Non-scientific*",OFFSET(Budget!#REF!,K31,0,ROWS(#REF!),1),0)+K31,999),"")</f>
        <v>#REF!</v>
      </c>
      <c r="L32" s="70" t="str">
        <f ca="1">IFERROR(INDEX(#REF!,K32),"")</f>
        <v/>
      </c>
      <c r="M32" s="113"/>
      <c r="N32" s="83" t="e">
        <f ca="1">IF(IFERROR(MATCH("*leave*",OFFSET(Budget!#REF!,N31,0,ROWS(#REF!),1),0)+N31,999)&lt;ROWS(#REF!),IFERROR(MATCH("*leave*",OFFSET(Budget!#REF!,N31,0,ROWS(#REF!),1),0)+N31,999),"")</f>
        <v>#REF!</v>
      </c>
      <c r="O32" s="88" t="str">
        <f ca="1">IFERROR(INDEX(#REF!,N32)*INDEX(#REF!,N32),"")</f>
        <v/>
      </c>
      <c r="P32" s="113"/>
      <c r="Q32" s="83" t="e">
        <f ca="1">IF(MIN(IFERROR(MATCH("*PostDoc*",OFFSET(Budget!#REF!,Q31,0,ROWS(#REF!)-Q31,1),0)+Q31,999),IFERROR(MATCH("*PhD*",OFFSET(Budget!#REF!,Q31,0,ROWS(#REF!)-Q31,1),0)+Q31,999),IFERROR(MATCH("*PDEng*",OFFSET(Budget!#REF!,Q31,0,ROWS(#REF!)-Q31,1),0)+Q31,999),IFERROR(MATCH("*Doctorate*",OFFSET(Budget!#REF!,Q31,0,ROWS(#REF!)-Q31,1),0)+Q31,999))&lt;ROWS(#REF!),MIN(IFERROR(MATCH("*PostDoc*",OFFSET(Budget!#REF!,Q31,0,ROWS(#REF!)-Q31,1),0)+Q31,999),IFERROR(MATCH("*PhD*",OFFSET(Budget!#REF!,Q31,0,ROWS(#REF!)-Q31,1),0)+Q31,999),IFERROR(MATCH("*PDEng*",OFFSET(Budget!#REF!,Q31,0,ROWS(#REF!)-Q31,1),0)+Q31,999),IFERROR(MATCH("*Doctorate*",OFFSET(Budget!#REF!,Q31,0,ROWS(#REF!)-Q31,1),0)+Q31,999)),"")</f>
        <v>#REF!</v>
      </c>
      <c r="R32" s="113" t="str">
        <f ca="1">IFERROR(INDEX(#REF!,Q32),"")</f>
        <v/>
      </c>
      <c r="S32" s="113" t="str">
        <f ca="1">IFERROR(INDEX(#REF!,Q32),"")</f>
        <v/>
      </c>
      <c r="T32" s="113" t="str">
        <f ca="1">IFERROR(INDEX(#REF!,Q32),"")</f>
        <v/>
      </c>
      <c r="U32" s="113" t="str">
        <f ca="1">SUBSTITUTE(IFERROR(INDEX(#REF!,Q32),""),0,"")</f>
        <v/>
      </c>
      <c r="V32" s="132" t="str">
        <f ca="1">SUBSTITUTE(IFERROR(INDEX(#REF!,Q32),""),0,"")</f>
        <v/>
      </c>
      <c r="W32" s="113"/>
      <c r="X32" s="133" t="e">
        <f>IF(ROW(E1569)-ROW($E$1548)&lt;ROWS(#REF!),IFERROR(IF(INDEX(list_cofunders[private?],MATCH(Budget!#REF!,list_cofunders[list cofunders],0),1)="yes",Budget!#REF!,""),""),"")</f>
        <v>#REF!</v>
      </c>
      <c r="Y32" s="134" t="e">
        <f>IF(ROW(E1672)-ROW($E$1651)&lt;ROWS(#REF!),IFERROR(IF(INDEX(list_cofunders[private?],MATCH(Budget!#REF!,list_cofunders[list cofunders],0),1)="yes",Budget!#REF!,""),""),"")</f>
        <v>#REF!</v>
      </c>
      <c r="Z32" s="113" t="str">
        <f>IFERROR(INDEX(#REF!,X32),"")</f>
        <v/>
      </c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CZ32" s="22"/>
      <c r="DA32" s="22"/>
      <c r="DB32" s="22"/>
      <c r="DC32" s="22"/>
      <c r="DD32" s="22"/>
      <c r="DE32" s="22"/>
      <c r="DF32" s="22"/>
      <c r="DG32" s="22"/>
      <c r="DH32" s="22"/>
    </row>
    <row r="33" spans="2:112" s="21" customFormat="1" ht="11.25" customHeight="1" outlineLevel="1" x14ac:dyDescent="0.35">
      <c r="B33" s="83" t="e">
        <f ca="1">IF(IFERROR(MATCH("*Other*",OFFSET(Budget!#REF!,B32,0,ROWS(#REF!),1),0)+B32,999)&lt;ROWS(#REF!),IFERROR(MATCH("*Other*",OFFSET(Budget!#REF!,B32,0,ROWS(#REF!),1),0)+B32,999),"")</f>
        <v>#REF!</v>
      </c>
      <c r="C33" s="70" t="str">
        <f ca="1">IFERROR(INDEX(#REF!,B33),"")</f>
        <v/>
      </c>
      <c r="E33" s="83" t="e">
        <f ca="1">IF(MIN(IFERROR(MATCH("*PostDoc*",OFFSET(Budget!#REF!,E32,0,ROWS(#REF!),1),0)+E32,999),IFERROR(MATCH("*PhD*",OFFSET(Budget!#REF!,E32,0,ROWS(#REF!),1),0)+E32,999),IFERROR(MATCH("*PDEng*",OFFSET(Budget!#REF!,E32,0,ROWS(#REF!),1),0)+E32,999))&lt;ROWS(#REF!),MIN(IFERROR(MATCH("*PostDoc*",OFFSET(Budget!#REF!,E32,0,ROWS(#REF!),1),0)+E32,999),IFERROR(MATCH("*PhD*",OFFSET(Budget!#REF!,E32,0,ROWS(#REF!),1),0)+E32,999),IFERROR(MATCH("*PDEng*",OFFSET(Budget!#REF!,E32,0,ROWS(#REF!),1),0)+E32,999)),"")</f>
        <v>#REF!</v>
      </c>
      <c r="F33" s="74" t="str">
        <f ca="1">IFERROR(INDEX(#REF!,E33)*INDEX(#REF!,E33)/12,"")</f>
        <v/>
      </c>
      <c r="G33" s="90"/>
      <c r="H33" s="83" t="e">
        <f ca="1">IF(IFERROR(MATCH("*researcher*",OFFSET(Budget!#REF!,H32,0,ROWS(#REF!),1),0)+H32,999)&lt;ROWS(#REF!),IFERROR(MATCH("*researcher*",OFFSET(Budget!#REF!,H32,0,ROWS(#REF!),1),0)+H32,999),"")</f>
        <v>#REF!</v>
      </c>
      <c r="I33" s="74" t="str">
        <f ca="1">IF(ISERROR(IF(AND(INDEX(#REF!,H33)&gt;=pers_oi_min_months,INDEX(#REF!,H33)/INDEX(#REF!,H33)*12/pers_other_nrhours_year&gt;=pers_oi_minFTE)=TRUE,INDEX(#REF!,H33)/12,0)),"",IF(AND(INDEX(#REF!,H33)&gt;=pers_oi_min_months,INDEX(#REF!,H33)/INDEX(#REF!,H33)*12/pers_other_nrhours_year&gt;=pers_oi_minFTE)=TRUE,INDEX(#REF!,H33)/12,""))</f>
        <v/>
      </c>
      <c r="J33" s="90"/>
      <c r="K33" s="83" t="e">
        <f ca="1">IF(IFERROR(MATCH("*Non-scientific*",OFFSET(Budget!#REF!,K32,0,ROWS(#REF!),1),0)+K32,999)&lt;ROWS(#REF!),IFERROR(MATCH("*Non-scientific*",OFFSET(Budget!#REF!,K32,0,ROWS(#REF!),1),0)+K32,999),"")</f>
        <v>#REF!</v>
      </c>
      <c r="L33" s="70" t="str">
        <f ca="1">IFERROR(INDEX(#REF!,K33),"")</f>
        <v/>
      </c>
      <c r="M33" s="113"/>
      <c r="N33" s="83" t="e">
        <f ca="1">IF(IFERROR(MATCH("*leave*",OFFSET(Budget!#REF!,N32,0,ROWS(#REF!),1),0)+N32,999)&lt;ROWS(#REF!),IFERROR(MATCH("*leave*",OFFSET(Budget!#REF!,N32,0,ROWS(#REF!),1),0)+N32,999),"")</f>
        <v>#REF!</v>
      </c>
      <c r="O33" s="88" t="str">
        <f ca="1">IFERROR(INDEX(#REF!,N33)*INDEX(#REF!,N33),"")</f>
        <v/>
      </c>
      <c r="P33" s="113"/>
      <c r="Q33" s="83" t="e">
        <f ca="1">IF(MIN(IFERROR(MATCH("*PostDoc*",OFFSET(Budget!#REF!,Q32,0,ROWS(#REF!)-Q32,1),0)+Q32,999),IFERROR(MATCH("*PhD*",OFFSET(Budget!#REF!,Q32,0,ROWS(#REF!)-Q32,1),0)+Q32,999),IFERROR(MATCH("*PDEng*",OFFSET(Budget!#REF!,Q32,0,ROWS(#REF!)-Q32,1),0)+Q32,999),IFERROR(MATCH("*Doctorate*",OFFSET(Budget!#REF!,Q32,0,ROWS(#REF!)-Q32,1),0)+Q32,999))&lt;ROWS(#REF!),MIN(IFERROR(MATCH("*PostDoc*",OFFSET(Budget!#REF!,Q32,0,ROWS(#REF!)-Q32,1),0)+Q32,999),IFERROR(MATCH("*PhD*",OFFSET(Budget!#REF!,Q32,0,ROWS(#REF!)-Q32,1),0)+Q32,999),IFERROR(MATCH("*PDEng*",OFFSET(Budget!#REF!,Q32,0,ROWS(#REF!)-Q32,1),0)+Q32,999),IFERROR(MATCH("*Doctorate*",OFFSET(Budget!#REF!,Q32,0,ROWS(#REF!)-Q32,1),0)+Q32,999)),"")</f>
        <v>#REF!</v>
      </c>
      <c r="R33" s="113" t="str">
        <f ca="1">IFERROR(INDEX(#REF!,Q33),"")</f>
        <v/>
      </c>
      <c r="S33" s="113" t="str">
        <f ca="1">IFERROR(INDEX(#REF!,Q33),"")</f>
        <v/>
      </c>
      <c r="T33" s="113" t="str">
        <f ca="1">IFERROR(INDEX(#REF!,Q33),"")</f>
        <v/>
      </c>
      <c r="U33" s="113" t="str">
        <f ca="1">SUBSTITUTE(IFERROR(INDEX(#REF!,Q33),""),0,"")</f>
        <v/>
      </c>
      <c r="V33" s="132" t="str">
        <f ca="1">SUBSTITUTE(IFERROR(INDEX(#REF!,Q33),""),0,"")</f>
        <v/>
      </c>
      <c r="W33" s="113"/>
      <c r="X33" s="133" t="e">
        <f>IF(ROW(E1570)-ROW($E$1548)&lt;ROWS(#REF!),IFERROR(IF(INDEX(list_cofunders[private?],MATCH(Budget!#REF!,list_cofunders[list cofunders],0),1)="yes",Budget!#REF!,""),""),"")</f>
        <v>#REF!</v>
      </c>
      <c r="Y33" s="134" t="e">
        <f>IF(ROW(E1673)-ROW($E$1651)&lt;ROWS(#REF!),IFERROR(IF(INDEX(list_cofunders[private?],MATCH(Budget!#REF!,list_cofunders[list cofunders],0),1)="yes",Budget!#REF!,""),""),"")</f>
        <v>#REF!</v>
      </c>
      <c r="Z33" s="113" t="str">
        <f>IFERROR(INDEX(#REF!,X33),"")</f>
        <v/>
      </c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CZ33" s="22"/>
      <c r="DA33" s="22"/>
      <c r="DB33" s="22"/>
      <c r="DC33" s="22"/>
      <c r="DD33" s="22"/>
      <c r="DE33" s="22"/>
      <c r="DF33" s="22"/>
      <c r="DG33" s="22"/>
      <c r="DH33" s="22"/>
    </row>
    <row r="34" spans="2:112" s="21" customFormat="1" ht="11.25" customHeight="1" outlineLevel="1" x14ac:dyDescent="0.35">
      <c r="B34" s="83" t="e">
        <f ca="1">IF(IFERROR(MATCH("*Other*",OFFSET(Budget!#REF!,B33,0,ROWS(#REF!),1),0)+B33,999)&lt;ROWS(#REF!),IFERROR(MATCH("*Other*",OFFSET(Budget!#REF!,B33,0,ROWS(#REF!),1),0)+B33,999),"")</f>
        <v>#REF!</v>
      </c>
      <c r="C34" s="70" t="str">
        <f ca="1">IFERROR(INDEX(#REF!,B34),"")</f>
        <v/>
      </c>
      <c r="E34" s="83" t="e">
        <f ca="1">IF(MIN(IFERROR(MATCH("*PostDoc*",OFFSET(Budget!#REF!,E33,0,ROWS(#REF!),1),0)+E33,999),IFERROR(MATCH("*PhD*",OFFSET(Budget!#REF!,E33,0,ROWS(#REF!),1),0)+E33,999),IFERROR(MATCH("*PDEng*",OFFSET(Budget!#REF!,E33,0,ROWS(#REF!),1),0)+E33,999))&lt;ROWS(#REF!),MIN(IFERROR(MATCH("*PostDoc*",OFFSET(Budget!#REF!,E33,0,ROWS(#REF!),1),0)+E33,999),IFERROR(MATCH("*PhD*",OFFSET(Budget!#REF!,E33,0,ROWS(#REF!),1),0)+E33,999),IFERROR(MATCH("*PDEng*",OFFSET(Budget!#REF!,E33,0,ROWS(#REF!),1),0)+E33,999)),"")</f>
        <v>#REF!</v>
      </c>
      <c r="F34" s="74" t="str">
        <f ca="1">IFERROR(INDEX(#REF!,E34)*INDEX(#REF!,E34)/12,"")</f>
        <v/>
      </c>
      <c r="G34" s="90"/>
      <c r="H34" s="83" t="e">
        <f ca="1">IF(IFERROR(MATCH("*researcher*",OFFSET(Budget!#REF!,H33,0,ROWS(#REF!),1),0)+H33,999)&lt;ROWS(#REF!),IFERROR(MATCH("*researcher*",OFFSET(Budget!#REF!,H33,0,ROWS(#REF!),1),0)+H33,999),"")</f>
        <v>#REF!</v>
      </c>
      <c r="I34" s="74" t="str">
        <f ca="1">IF(ISERROR(IF(AND(INDEX(#REF!,H34)&gt;=pers_oi_min_months,INDEX(#REF!,H34)/INDEX(#REF!,H34)*12/pers_other_nrhours_year&gt;=pers_oi_minFTE)=TRUE,INDEX(#REF!,H34)/12,0)),"",IF(AND(INDEX(#REF!,H34)&gt;=pers_oi_min_months,INDEX(#REF!,H34)/INDEX(#REF!,H34)*12/pers_other_nrhours_year&gt;=pers_oi_minFTE)=TRUE,INDEX(#REF!,H34)/12,""))</f>
        <v/>
      </c>
      <c r="J34" s="90"/>
      <c r="K34" s="83" t="e">
        <f ca="1">IF(IFERROR(MATCH("*Non-scientific*",OFFSET(Budget!#REF!,K33,0,ROWS(#REF!),1),0)+K33,999)&lt;ROWS(#REF!),IFERROR(MATCH("*Non-scientific*",OFFSET(Budget!#REF!,K33,0,ROWS(#REF!),1),0)+K33,999),"")</f>
        <v>#REF!</v>
      </c>
      <c r="L34" s="70" t="str">
        <f ca="1">IFERROR(INDEX(#REF!,K34),"")</f>
        <v/>
      </c>
      <c r="M34" s="113"/>
      <c r="N34" s="83" t="e">
        <f ca="1">IF(IFERROR(MATCH("*leave*",OFFSET(Budget!#REF!,N33,0,ROWS(#REF!),1),0)+N33,999)&lt;ROWS(#REF!),IFERROR(MATCH("*leave*",OFFSET(Budget!#REF!,N33,0,ROWS(#REF!),1),0)+N33,999),"")</f>
        <v>#REF!</v>
      </c>
      <c r="O34" s="88" t="str">
        <f ca="1">IFERROR(INDEX(#REF!,N34)*INDEX(#REF!,N34),"")</f>
        <v/>
      </c>
      <c r="P34" s="113"/>
      <c r="Q34" s="83" t="e">
        <f ca="1">IF(MIN(IFERROR(MATCH("*PostDoc*",OFFSET(Budget!#REF!,Q33,0,ROWS(#REF!)-Q33,1),0)+Q33,999),IFERROR(MATCH("*PhD*",OFFSET(Budget!#REF!,Q33,0,ROWS(#REF!)-Q33,1),0)+Q33,999),IFERROR(MATCH("*PDEng*",OFFSET(Budget!#REF!,Q33,0,ROWS(#REF!)-Q33,1),0)+Q33,999),IFERROR(MATCH("*Doctorate*",OFFSET(Budget!#REF!,Q33,0,ROWS(#REF!)-Q33,1),0)+Q33,999))&lt;ROWS(#REF!),MIN(IFERROR(MATCH("*PostDoc*",OFFSET(Budget!#REF!,Q33,0,ROWS(#REF!)-Q33,1),0)+Q33,999),IFERROR(MATCH("*PhD*",OFFSET(Budget!#REF!,Q33,0,ROWS(#REF!)-Q33,1),0)+Q33,999),IFERROR(MATCH("*PDEng*",OFFSET(Budget!#REF!,Q33,0,ROWS(#REF!)-Q33,1),0)+Q33,999),IFERROR(MATCH("*Doctorate*",OFFSET(Budget!#REF!,Q33,0,ROWS(#REF!)-Q33,1),0)+Q33,999)),"")</f>
        <v>#REF!</v>
      </c>
      <c r="R34" s="113" t="str">
        <f ca="1">IFERROR(INDEX(#REF!,Q34),"")</f>
        <v/>
      </c>
      <c r="S34" s="113" t="str">
        <f ca="1">IFERROR(INDEX(#REF!,Q34),"")</f>
        <v/>
      </c>
      <c r="T34" s="113" t="str">
        <f ca="1">IFERROR(INDEX(#REF!,Q34),"")</f>
        <v/>
      </c>
      <c r="U34" s="113" t="str">
        <f ca="1">SUBSTITUTE(IFERROR(INDEX(#REF!,Q34),""),0,"")</f>
        <v/>
      </c>
      <c r="V34" s="132" t="str">
        <f ca="1">SUBSTITUTE(IFERROR(INDEX(#REF!,Q34),""),0,"")</f>
        <v/>
      </c>
      <c r="W34" s="113"/>
      <c r="X34" s="133" t="e">
        <f>IF(ROW(E1571)-ROW($E$1548)&lt;ROWS(#REF!),IFERROR(IF(INDEX(list_cofunders[private?],MATCH(Budget!#REF!,list_cofunders[list cofunders],0),1)="yes",Budget!#REF!,""),""),"")</f>
        <v>#REF!</v>
      </c>
      <c r="Y34" s="134" t="e">
        <f>IF(ROW(E1674)-ROW($E$1651)&lt;ROWS(#REF!),IFERROR(IF(INDEX(list_cofunders[private?],MATCH(Budget!#REF!,list_cofunders[list cofunders],0),1)="yes",Budget!#REF!,""),""),"")</f>
        <v>#REF!</v>
      </c>
      <c r="Z34" s="113" t="str">
        <f>IFERROR(INDEX(#REF!,X34),"")</f>
        <v/>
      </c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CZ34" s="22"/>
      <c r="DA34" s="22"/>
      <c r="DB34" s="22"/>
      <c r="DC34" s="22"/>
      <c r="DD34" s="22"/>
      <c r="DE34" s="22"/>
      <c r="DF34" s="22"/>
      <c r="DG34" s="22"/>
      <c r="DH34" s="22"/>
    </row>
    <row r="35" spans="2:112" s="21" customFormat="1" ht="11.25" customHeight="1" outlineLevel="1" x14ac:dyDescent="0.35">
      <c r="B35" s="83" t="e">
        <f ca="1">IF(IFERROR(MATCH("*Other*",OFFSET(Budget!#REF!,B34,0,ROWS(#REF!),1),0)+B34,999)&lt;ROWS(#REF!),IFERROR(MATCH("*Other*",OFFSET(Budget!#REF!,B34,0,ROWS(#REF!),1),0)+B34,999),"")</f>
        <v>#REF!</v>
      </c>
      <c r="C35" s="70" t="str">
        <f ca="1">IFERROR(INDEX(#REF!,B35),"")</f>
        <v/>
      </c>
      <c r="E35" s="83" t="e">
        <f ca="1">IF(MIN(IFERROR(MATCH("*PostDoc*",OFFSET(Budget!#REF!,E34,0,ROWS(#REF!),1),0)+E34,999),IFERROR(MATCH("*PhD*",OFFSET(Budget!#REF!,E34,0,ROWS(#REF!),1),0)+E34,999),IFERROR(MATCH("*PDEng*",OFFSET(Budget!#REF!,E34,0,ROWS(#REF!),1),0)+E34,999))&lt;ROWS(#REF!),MIN(IFERROR(MATCH("*PostDoc*",OFFSET(Budget!#REF!,E34,0,ROWS(#REF!),1),0)+E34,999),IFERROR(MATCH("*PhD*",OFFSET(Budget!#REF!,E34,0,ROWS(#REF!),1),0)+E34,999),IFERROR(MATCH("*PDEng*",OFFSET(Budget!#REF!,E34,0,ROWS(#REF!),1),0)+E34,999)),"")</f>
        <v>#REF!</v>
      </c>
      <c r="F35" s="74" t="str">
        <f ca="1">IFERROR(INDEX(#REF!,E35)*INDEX(#REF!,E35)/12,"")</f>
        <v/>
      </c>
      <c r="G35" s="90"/>
      <c r="H35" s="83" t="e">
        <f ca="1">IF(IFERROR(MATCH("*researcher*",OFFSET(Budget!#REF!,H34,0,ROWS(#REF!),1),0)+H34,999)&lt;ROWS(#REF!),IFERROR(MATCH("*researcher*",OFFSET(Budget!#REF!,H34,0,ROWS(#REF!),1),0)+H34,999),"")</f>
        <v>#REF!</v>
      </c>
      <c r="I35" s="74" t="str">
        <f ca="1">IF(ISERROR(IF(AND(INDEX(#REF!,H35)&gt;=pers_oi_min_months,INDEX(#REF!,H35)/INDEX(#REF!,H35)*12/pers_other_nrhours_year&gt;=pers_oi_minFTE)=TRUE,INDEX(#REF!,H35)/12,0)),"",IF(AND(INDEX(#REF!,H35)&gt;=pers_oi_min_months,INDEX(#REF!,H35)/INDEX(#REF!,H35)*12/pers_other_nrhours_year&gt;=pers_oi_minFTE)=TRUE,INDEX(#REF!,H35)/12,""))</f>
        <v/>
      </c>
      <c r="J35" s="90"/>
      <c r="K35" s="83" t="e">
        <f ca="1">IF(IFERROR(MATCH("*Non-scientific*",OFFSET(Budget!#REF!,K34,0,ROWS(#REF!),1),0)+K34,999)&lt;ROWS(#REF!),IFERROR(MATCH("*Non-scientific*",OFFSET(Budget!#REF!,K34,0,ROWS(#REF!),1),0)+K34,999),"")</f>
        <v>#REF!</v>
      </c>
      <c r="L35" s="70" t="str">
        <f ca="1">IFERROR(INDEX(#REF!,K35),"")</f>
        <v/>
      </c>
      <c r="M35" s="113"/>
      <c r="N35" s="83" t="e">
        <f ca="1">IF(IFERROR(MATCH("*leave*",OFFSET(Budget!#REF!,N34,0,ROWS(#REF!),1),0)+N34,999)&lt;ROWS(#REF!),IFERROR(MATCH("*leave*",OFFSET(Budget!#REF!,N34,0,ROWS(#REF!),1),0)+N34,999),"")</f>
        <v>#REF!</v>
      </c>
      <c r="O35" s="88" t="str">
        <f ca="1">IFERROR(INDEX(#REF!,N35)*INDEX(#REF!,N35),"")</f>
        <v/>
      </c>
      <c r="P35" s="113"/>
      <c r="Q35" s="83" t="e">
        <f ca="1">IF(MIN(IFERROR(MATCH("*PostDoc*",OFFSET(Budget!#REF!,Q34,0,ROWS(#REF!)-Q34,1),0)+Q34,999),IFERROR(MATCH("*PhD*",OFFSET(Budget!#REF!,Q34,0,ROWS(#REF!)-Q34,1),0)+Q34,999),IFERROR(MATCH("*PDEng*",OFFSET(Budget!#REF!,Q34,0,ROWS(#REF!)-Q34,1),0)+Q34,999),IFERROR(MATCH("*Doctorate*",OFFSET(Budget!#REF!,Q34,0,ROWS(#REF!)-Q34,1),0)+Q34,999))&lt;ROWS(#REF!),MIN(IFERROR(MATCH("*PostDoc*",OFFSET(Budget!#REF!,Q34,0,ROWS(#REF!)-Q34,1),0)+Q34,999),IFERROR(MATCH("*PhD*",OFFSET(Budget!#REF!,Q34,0,ROWS(#REF!)-Q34,1),0)+Q34,999),IFERROR(MATCH("*PDEng*",OFFSET(Budget!#REF!,Q34,0,ROWS(#REF!)-Q34,1),0)+Q34,999),IFERROR(MATCH("*Doctorate*",OFFSET(Budget!#REF!,Q34,0,ROWS(#REF!)-Q34,1),0)+Q34,999)),"")</f>
        <v>#REF!</v>
      </c>
      <c r="R35" s="113" t="str">
        <f ca="1">IFERROR(INDEX(#REF!,Q35),"")</f>
        <v/>
      </c>
      <c r="S35" s="113" t="str">
        <f ca="1">IFERROR(INDEX(#REF!,Q35),"")</f>
        <v/>
      </c>
      <c r="T35" s="113" t="str">
        <f ca="1">IFERROR(INDEX(#REF!,Q35),"")</f>
        <v/>
      </c>
      <c r="U35" s="113" t="str">
        <f ca="1">SUBSTITUTE(IFERROR(INDEX(#REF!,Q35),""),0,"")</f>
        <v/>
      </c>
      <c r="V35" s="132" t="str">
        <f ca="1">SUBSTITUTE(IFERROR(INDEX(#REF!,Q35),""),0,"")</f>
        <v/>
      </c>
      <c r="W35" s="113"/>
      <c r="X35" s="133" t="e">
        <f>IF(ROW(E1572)-ROW($E$1548)&lt;ROWS(#REF!),IFERROR(IF(INDEX(list_cofunders[private?],MATCH(Budget!#REF!,list_cofunders[list cofunders],0),1)="yes",Budget!#REF!,""),""),"")</f>
        <v>#REF!</v>
      </c>
      <c r="Y35" s="134" t="e">
        <f>IF(ROW(E1675)-ROW($E$1651)&lt;ROWS(#REF!),IFERROR(IF(INDEX(list_cofunders[private?],MATCH(Budget!#REF!,list_cofunders[list cofunders],0),1)="yes",Budget!#REF!,""),""),"")</f>
        <v>#REF!</v>
      </c>
      <c r="Z35" s="113" t="str">
        <f>IFERROR(INDEX(#REF!,X35),"")</f>
        <v/>
      </c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CZ35" s="22"/>
      <c r="DA35" s="22"/>
      <c r="DB35" s="22"/>
      <c r="DC35" s="22"/>
      <c r="DD35" s="22"/>
      <c r="DE35" s="22"/>
      <c r="DF35" s="22"/>
      <c r="DG35" s="22"/>
      <c r="DH35" s="22"/>
    </row>
    <row r="36" spans="2:112" s="21" customFormat="1" ht="11.25" customHeight="1" outlineLevel="1" x14ac:dyDescent="0.35">
      <c r="B36" s="83" t="e">
        <f ca="1">IF(IFERROR(MATCH("*Other*",OFFSET(Budget!#REF!,B35,0,ROWS(#REF!),1),0)+B35,999)&lt;ROWS(#REF!),IFERROR(MATCH("*Other*",OFFSET(Budget!#REF!,B35,0,ROWS(#REF!),1),0)+B35,999),"")</f>
        <v>#REF!</v>
      </c>
      <c r="C36" s="70" t="str">
        <f ca="1">IFERROR(INDEX(#REF!,B36),"")</f>
        <v/>
      </c>
      <c r="E36" s="83" t="e">
        <f ca="1">IF(MIN(IFERROR(MATCH("*PostDoc*",OFFSET(Budget!#REF!,E35,0,ROWS(#REF!),1),0)+E35,999),IFERROR(MATCH("*PhD*",OFFSET(Budget!#REF!,E35,0,ROWS(#REF!),1),0)+E35,999),IFERROR(MATCH("*PDEng*",OFFSET(Budget!#REF!,E35,0,ROWS(#REF!),1),0)+E35,999))&lt;ROWS(#REF!),MIN(IFERROR(MATCH("*PostDoc*",OFFSET(Budget!#REF!,E35,0,ROWS(#REF!),1),0)+E35,999),IFERROR(MATCH("*PhD*",OFFSET(Budget!#REF!,E35,0,ROWS(#REF!),1),0)+E35,999),IFERROR(MATCH("*PDEng*",OFFSET(Budget!#REF!,E35,0,ROWS(#REF!),1),0)+E35,999)),"")</f>
        <v>#REF!</v>
      </c>
      <c r="F36" s="74" t="str">
        <f ca="1">IFERROR(INDEX(#REF!,E36)*INDEX(#REF!,E36)/12,"")</f>
        <v/>
      </c>
      <c r="G36" s="90"/>
      <c r="H36" s="83" t="e">
        <f ca="1">IF(IFERROR(MATCH("*researcher*",OFFSET(Budget!#REF!,H35,0,ROWS(#REF!),1),0)+H35,999)&lt;ROWS(#REF!),IFERROR(MATCH("*researcher*",OFFSET(Budget!#REF!,H35,0,ROWS(#REF!),1),0)+H35,999),"")</f>
        <v>#REF!</v>
      </c>
      <c r="I36" s="74" t="str">
        <f ca="1">IF(ISERROR(IF(AND(INDEX(#REF!,H36)&gt;=pers_oi_min_months,INDEX(#REF!,H36)/INDEX(#REF!,H36)*12/pers_other_nrhours_year&gt;=pers_oi_minFTE)=TRUE,INDEX(#REF!,H36)/12,0)),"",IF(AND(INDEX(#REF!,H36)&gt;=pers_oi_min_months,INDEX(#REF!,H36)/INDEX(#REF!,H36)*12/pers_other_nrhours_year&gt;=pers_oi_minFTE)=TRUE,INDEX(#REF!,H36)/12,""))</f>
        <v/>
      </c>
      <c r="J36" s="90"/>
      <c r="K36" s="83" t="e">
        <f ca="1">IF(IFERROR(MATCH("*Non-scientific*",OFFSET(Budget!#REF!,K35,0,ROWS(#REF!),1),0)+K35,999)&lt;ROWS(#REF!),IFERROR(MATCH("*Non-scientific*",OFFSET(Budget!#REF!,K35,0,ROWS(#REF!),1),0)+K35,999),"")</f>
        <v>#REF!</v>
      </c>
      <c r="L36" s="70" t="str">
        <f ca="1">IFERROR(INDEX(#REF!,K36),"")</f>
        <v/>
      </c>
      <c r="M36" s="113"/>
      <c r="N36" s="83" t="e">
        <f ca="1">IF(IFERROR(MATCH("*leave*",OFFSET(Budget!#REF!,N35,0,ROWS(#REF!),1),0)+N35,999)&lt;ROWS(#REF!),IFERROR(MATCH("*leave*",OFFSET(Budget!#REF!,N35,0,ROWS(#REF!),1),0)+N35,999),"")</f>
        <v>#REF!</v>
      </c>
      <c r="O36" s="88" t="str">
        <f ca="1">IFERROR(INDEX(#REF!,N36)*INDEX(#REF!,N36),"")</f>
        <v/>
      </c>
      <c r="P36" s="113"/>
      <c r="Q36" s="83" t="e">
        <f ca="1">IF(MIN(IFERROR(MATCH("*PostDoc*",OFFSET(Budget!#REF!,Q35,0,ROWS(#REF!)-Q35,1),0)+Q35,999),IFERROR(MATCH("*PhD*",OFFSET(Budget!#REF!,Q35,0,ROWS(#REF!)-Q35,1),0)+Q35,999),IFERROR(MATCH("*PDEng*",OFFSET(Budget!#REF!,Q35,0,ROWS(#REF!)-Q35,1),0)+Q35,999),IFERROR(MATCH("*Doctorate*",OFFSET(Budget!#REF!,Q35,0,ROWS(#REF!)-Q35,1),0)+Q35,999))&lt;ROWS(#REF!),MIN(IFERROR(MATCH("*PostDoc*",OFFSET(Budget!#REF!,Q35,0,ROWS(#REF!)-Q35,1),0)+Q35,999),IFERROR(MATCH("*PhD*",OFFSET(Budget!#REF!,Q35,0,ROWS(#REF!)-Q35,1),0)+Q35,999),IFERROR(MATCH("*PDEng*",OFFSET(Budget!#REF!,Q35,0,ROWS(#REF!)-Q35,1),0)+Q35,999),IFERROR(MATCH("*Doctorate*",OFFSET(Budget!#REF!,Q35,0,ROWS(#REF!)-Q35,1),0)+Q35,999)),"")</f>
        <v>#REF!</v>
      </c>
      <c r="R36" s="113" t="str">
        <f ca="1">IFERROR(INDEX(#REF!,Q36),"")</f>
        <v/>
      </c>
      <c r="S36" s="113" t="str">
        <f ca="1">IFERROR(INDEX(#REF!,Q36),"")</f>
        <v/>
      </c>
      <c r="T36" s="113" t="str">
        <f ca="1">IFERROR(INDEX(#REF!,Q36),"")</f>
        <v/>
      </c>
      <c r="U36" s="113" t="str">
        <f ca="1">SUBSTITUTE(IFERROR(INDEX(#REF!,Q36),""),0,"")</f>
        <v/>
      </c>
      <c r="V36" s="132" t="str">
        <f ca="1">SUBSTITUTE(IFERROR(INDEX(#REF!,Q36),""),0,"")</f>
        <v/>
      </c>
      <c r="W36" s="113"/>
      <c r="X36" s="133" t="e">
        <f>IF(ROW(E1573)-ROW($E$1548)&lt;ROWS(#REF!),IFERROR(IF(INDEX(list_cofunders[private?],MATCH(Budget!#REF!,list_cofunders[list cofunders],0),1)="yes",Budget!#REF!,""),""),"")</f>
        <v>#REF!</v>
      </c>
      <c r="Y36" s="134" t="e">
        <f>IF(ROW(E1676)-ROW($E$1651)&lt;ROWS(#REF!),IFERROR(IF(INDEX(list_cofunders[private?],MATCH(Budget!#REF!,list_cofunders[list cofunders],0),1)="yes",Budget!#REF!,""),""),"")</f>
        <v>#REF!</v>
      </c>
      <c r="Z36" s="113" t="str">
        <f>IFERROR(INDEX(#REF!,X36),"")</f>
        <v/>
      </c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CZ36" s="22"/>
      <c r="DA36" s="22"/>
      <c r="DB36" s="22"/>
      <c r="DC36" s="22"/>
      <c r="DD36" s="22"/>
      <c r="DE36" s="22"/>
      <c r="DF36" s="22"/>
      <c r="DG36" s="22"/>
      <c r="DH36" s="22"/>
    </row>
    <row r="37" spans="2:112" s="21" customFormat="1" ht="11.25" customHeight="1" outlineLevel="1" x14ac:dyDescent="0.35">
      <c r="B37" s="83" t="e">
        <f ca="1">IF(IFERROR(MATCH("*Other*",OFFSET(Budget!#REF!,B36,0,ROWS(#REF!),1),0)+B36,999)&lt;ROWS(#REF!),IFERROR(MATCH("*Other*",OFFSET(Budget!#REF!,B36,0,ROWS(#REF!),1),0)+B36,999),"")</f>
        <v>#REF!</v>
      </c>
      <c r="C37" s="70" t="str">
        <f ca="1">IFERROR(INDEX(#REF!,B37),"")</f>
        <v/>
      </c>
      <c r="E37" s="83" t="e">
        <f ca="1">IF(MIN(IFERROR(MATCH("*PostDoc*",OFFSET(Budget!#REF!,E36,0,ROWS(#REF!),1),0)+E36,999),IFERROR(MATCH("*PhD*",OFFSET(Budget!#REF!,E36,0,ROWS(#REF!),1),0)+E36,999),IFERROR(MATCH("*PDEng*",OFFSET(Budget!#REF!,E36,0,ROWS(#REF!),1),0)+E36,999))&lt;ROWS(#REF!),MIN(IFERROR(MATCH("*PostDoc*",OFFSET(Budget!#REF!,E36,0,ROWS(#REF!),1),0)+E36,999),IFERROR(MATCH("*PhD*",OFFSET(Budget!#REF!,E36,0,ROWS(#REF!),1),0)+E36,999),IFERROR(MATCH("*PDEng*",OFFSET(Budget!#REF!,E36,0,ROWS(#REF!),1),0)+E36,999)),"")</f>
        <v>#REF!</v>
      </c>
      <c r="F37" s="74" t="str">
        <f ca="1">IFERROR(INDEX(#REF!,E37)*INDEX(#REF!,E37)/12,"")</f>
        <v/>
      </c>
      <c r="G37" s="90"/>
      <c r="H37" s="83" t="e">
        <f ca="1">IF(IFERROR(MATCH("*researcher*",OFFSET(Budget!#REF!,H36,0,ROWS(#REF!),1),0)+H36,999)&lt;ROWS(#REF!),IFERROR(MATCH("*researcher*",OFFSET(Budget!#REF!,H36,0,ROWS(#REF!),1),0)+H36,999),"")</f>
        <v>#REF!</v>
      </c>
      <c r="I37" s="74" t="str">
        <f ca="1">IF(ISERROR(IF(AND(INDEX(#REF!,H37)&gt;=pers_oi_min_months,INDEX(#REF!,H37)/INDEX(#REF!,H37)*12/pers_other_nrhours_year&gt;=pers_oi_minFTE)=TRUE,INDEX(#REF!,H37)/12,0)),"",IF(AND(INDEX(#REF!,H37)&gt;=pers_oi_min_months,INDEX(#REF!,H37)/INDEX(#REF!,H37)*12/pers_other_nrhours_year&gt;=pers_oi_minFTE)=TRUE,INDEX(#REF!,H37)/12,""))</f>
        <v/>
      </c>
      <c r="J37" s="90"/>
      <c r="K37" s="83" t="e">
        <f ca="1">IF(IFERROR(MATCH("*Non-scientific*",OFFSET(Budget!#REF!,K36,0,ROWS(#REF!),1),0)+K36,999)&lt;ROWS(#REF!),IFERROR(MATCH("*Non-scientific*",OFFSET(Budget!#REF!,K36,0,ROWS(#REF!),1),0)+K36,999),"")</f>
        <v>#REF!</v>
      </c>
      <c r="L37" s="70" t="str">
        <f ca="1">IFERROR(INDEX(#REF!,K37),"")</f>
        <v/>
      </c>
      <c r="M37" s="113"/>
      <c r="N37" s="83" t="e">
        <f ca="1">IF(IFERROR(MATCH("*leave*",OFFSET(Budget!#REF!,N36,0,ROWS(#REF!),1),0)+N36,999)&lt;ROWS(#REF!),IFERROR(MATCH("*leave*",OFFSET(Budget!#REF!,N36,0,ROWS(#REF!),1),0)+N36,999),"")</f>
        <v>#REF!</v>
      </c>
      <c r="O37" s="88" t="str">
        <f ca="1">IFERROR(INDEX(#REF!,N37)*INDEX(#REF!,N37),"")</f>
        <v/>
      </c>
      <c r="P37" s="113"/>
      <c r="Q37" s="83" t="e">
        <f ca="1">IF(MIN(IFERROR(MATCH("*PostDoc*",OFFSET(Budget!#REF!,Q36,0,ROWS(#REF!)-Q36,1),0)+Q36,999),IFERROR(MATCH("*PhD*",OFFSET(Budget!#REF!,Q36,0,ROWS(#REF!)-Q36,1),0)+Q36,999),IFERROR(MATCH("*PDEng*",OFFSET(Budget!#REF!,Q36,0,ROWS(#REF!)-Q36,1),0)+Q36,999),IFERROR(MATCH("*Doctorate*",OFFSET(Budget!#REF!,Q36,0,ROWS(#REF!)-Q36,1),0)+Q36,999))&lt;ROWS(#REF!),MIN(IFERROR(MATCH("*PostDoc*",OFFSET(Budget!#REF!,Q36,0,ROWS(#REF!)-Q36,1),0)+Q36,999),IFERROR(MATCH("*PhD*",OFFSET(Budget!#REF!,Q36,0,ROWS(#REF!)-Q36,1),0)+Q36,999),IFERROR(MATCH("*PDEng*",OFFSET(Budget!#REF!,Q36,0,ROWS(#REF!)-Q36,1),0)+Q36,999),IFERROR(MATCH("*Doctorate*",OFFSET(Budget!#REF!,Q36,0,ROWS(#REF!)-Q36,1),0)+Q36,999)),"")</f>
        <v>#REF!</v>
      </c>
      <c r="R37" s="113" t="str">
        <f ca="1">IFERROR(INDEX(#REF!,Q37),"")</f>
        <v/>
      </c>
      <c r="S37" s="113" t="str">
        <f ca="1">IFERROR(INDEX(#REF!,Q37),"")</f>
        <v/>
      </c>
      <c r="T37" s="113" t="str">
        <f ca="1">IFERROR(INDEX(#REF!,Q37),"")</f>
        <v/>
      </c>
      <c r="U37" s="113" t="str">
        <f ca="1">SUBSTITUTE(IFERROR(INDEX(#REF!,Q37),""),0,"")</f>
        <v/>
      </c>
      <c r="V37" s="132" t="str">
        <f ca="1">SUBSTITUTE(IFERROR(INDEX(#REF!,Q37),""),0,"")</f>
        <v/>
      </c>
      <c r="W37" s="113"/>
      <c r="X37" s="133" t="e">
        <f>IF(ROW(E1574)-ROW($E$1548)&lt;ROWS(#REF!),IFERROR(IF(INDEX(list_cofunders[private?],MATCH(Budget!#REF!,list_cofunders[list cofunders],0),1)="yes",Budget!#REF!,""),""),"")</f>
        <v>#REF!</v>
      </c>
      <c r="Y37" s="134" t="e">
        <f>IF(ROW(E1677)-ROW($E$1651)&lt;ROWS(#REF!),IFERROR(IF(INDEX(list_cofunders[private?],MATCH(Budget!#REF!,list_cofunders[list cofunders],0),1)="yes",Budget!#REF!,""),""),"")</f>
        <v>#REF!</v>
      </c>
      <c r="Z37" s="113" t="str">
        <f>IFERROR(INDEX(#REF!,X37),"")</f>
        <v/>
      </c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CZ37" s="22"/>
      <c r="DA37" s="22"/>
      <c r="DB37" s="22"/>
      <c r="DC37" s="22"/>
      <c r="DD37" s="22"/>
      <c r="DE37" s="22"/>
      <c r="DF37" s="22"/>
      <c r="DG37" s="22"/>
      <c r="DH37" s="22"/>
    </row>
    <row r="38" spans="2:112" s="21" customFormat="1" ht="11.25" customHeight="1" outlineLevel="1" x14ac:dyDescent="0.35">
      <c r="B38" s="83" t="e">
        <f ca="1">IF(IFERROR(MATCH("*Other*",OFFSET(Budget!#REF!,B37,0,ROWS(#REF!),1),0)+B37,999)&lt;ROWS(#REF!),IFERROR(MATCH("*Other*",OFFSET(Budget!#REF!,B37,0,ROWS(#REF!),1),0)+B37,999),"")</f>
        <v>#REF!</v>
      </c>
      <c r="C38" s="70" t="str">
        <f ca="1">IFERROR(INDEX(#REF!,B38),"")</f>
        <v/>
      </c>
      <c r="E38" s="83" t="e">
        <f ca="1">IF(MIN(IFERROR(MATCH("*PostDoc*",OFFSET(Budget!#REF!,E37,0,ROWS(#REF!),1),0)+E37,999),IFERROR(MATCH("*PhD*",OFFSET(Budget!#REF!,E37,0,ROWS(#REF!),1),0)+E37,999),IFERROR(MATCH("*PDEng*",OFFSET(Budget!#REF!,E37,0,ROWS(#REF!),1),0)+E37,999))&lt;ROWS(#REF!),MIN(IFERROR(MATCH("*PostDoc*",OFFSET(Budget!#REF!,E37,0,ROWS(#REF!),1),0)+E37,999),IFERROR(MATCH("*PhD*",OFFSET(Budget!#REF!,E37,0,ROWS(#REF!),1),0)+E37,999),IFERROR(MATCH("*PDEng*",OFFSET(Budget!#REF!,E37,0,ROWS(#REF!),1),0)+E37,999)),"")</f>
        <v>#REF!</v>
      </c>
      <c r="F38" s="74" t="str">
        <f ca="1">IFERROR(INDEX(#REF!,E38)*INDEX(#REF!,E38)/12,"")</f>
        <v/>
      </c>
      <c r="G38" s="90"/>
      <c r="H38" s="83" t="e">
        <f ca="1">IF(IFERROR(MATCH("*researcher*",OFFSET(Budget!#REF!,H37,0,ROWS(#REF!),1),0)+H37,999)&lt;ROWS(#REF!),IFERROR(MATCH("*researcher*",OFFSET(Budget!#REF!,H37,0,ROWS(#REF!),1),0)+H37,999),"")</f>
        <v>#REF!</v>
      </c>
      <c r="I38" s="74" t="str">
        <f ca="1">IF(ISERROR(IF(AND(INDEX(#REF!,H38)&gt;=pers_oi_min_months,INDEX(#REF!,H38)/INDEX(#REF!,H38)*12/pers_other_nrhours_year&gt;=pers_oi_minFTE)=TRUE,INDEX(#REF!,H38)/12,0)),"",IF(AND(INDEX(#REF!,H38)&gt;=pers_oi_min_months,INDEX(#REF!,H38)/INDEX(#REF!,H38)*12/pers_other_nrhours_year&gt;=pers_oi_minFTE)=TRUE,INDEX(#REF!,H38)/12,""))</f>
        <v/>
      </c>
      <c r="J38" s="90"/>
      <c r="K38" s="83" t="e">
        <f ca="1">IF(IFERROR(MATCH("*Non-scientific*",OFFSET(Budget!#REF!,K37,0,ROWS(#REF!),1),0)+K37,999)&lt;ROWS(#REF!),IFERROR(MATCH("*Non-scientific*",OFFSET(Budget!#REF!,K37,0,ROWS(#REF!),1),0)+K37,999),"")</f>
        <v>#REF!</v>
      </c>
      <c r="L38" s="70" t="str">
        <f ca="1">IFERROR(INDEX(#REF!,K38),"")</f>
        <v/>
      </c>
      <c r="M38" s="113"/>
      <c r="N38" s="83" t="e">
        <f ca="1">IF(IFERROR(MATCH("*leave*",OFFSET(Budget!#REF!,N37,0,ROWS(#REF!),1),0)+N37,999)&lt;ROWS(#REF!),IFERROR(MATCH("*leave*",OFFSET(Budget!#REF!,N37,0,ROWS(#REF!),1),0)+N37,999),"")</f>
        <v>#REF!</v>
      </c>
      <c r="O38" s="88" t="str">
        <f ca="1">IFERROR(INDEX(#REF!,N38)*INDEX(#REF!,N38),"")</f>
        <v/>
      </c>
      <c r="P38" s="113"/>
      <c r="Q38" s="83" t="e">
        <f ca="1">IF(MIN(IFERROR(MATCH("*PostDoc*",OFFSET(Budget!#REF!,Q37,0,ROWS(#REF!)-Q37,1),0)+Q37,999),IFERROR(MATCH("*PhD*",OFFSET(Budget!#REF!,Q37,0,ROWS(#REF!)-Q37,1),0)+Q37,999),IFERROR(MATCH("*PDEng*",OFFSET(Budget!#REF!,Q37,0,ROWS(#REF!)-Q37,1),0)+Q37,999),IFERROR(MATCH("*Doctorate*",OFFSET(Budget!#REF!,Q37,0,ROWS(#REF!)-Q37,1),0)+Q37,999))&lt;ROWS(#REF!),MIN(IFERROR(MATCH("*PostDoc*",OFFSET(Budget!#REF!,Q37,0,ROWS(#REF!)-Q37,1),0)+Q37,999),IFERROR(MATCH("*PhD*",OFFSET(Budget!#REF!,Q37,0,ROWS(#REF!)-Q37,1),0)+Q37,999),IFERROR(MATCH("*PDEng*",OFFSET(Budget!#REF!,Q37,0,ROWS(#REF!)-Q37,1),0)+Q37,999),IFERROR(MATCH("*Doctorate*",OFFSET(Budget!#REF!,Q37,0,ROWS(#REF!)-Q37,1),0)+Q37,999)),"")</f>
        <v>#REF!</v>
      </c>
      <c r="R38" s="113" t="str">
        <f ca="1">IFERROR(INDEX(#REF!,Q38),"")</f>
        <v/>
      </c>
      <c r="S38" s="113" t="str">
        <f ca="1">IFERROR(INDEX(#REF!,Q38),"")</f>
        <v/>
      </c>
      <c r="T38" s="113" t="str">
        <f ca="1">IFERROR(INDEX(#REF!,Q38),"")</f>
        <v/>
      </c>
      <c r="U38" s="113" t="str">
        <f ca="1">SUBSTITUTE(IFERROR(INDEX(#REF!,Q38),""),0,"")</f>
        <v/>
      </c>
      <c r="V38" s="132" t="str">
        <f ca="1">SUBSTITUTE(IFERROR(INDEX(#REF!,Q38),""),0,"")</f>
        <v/>
      </c>
      <c r="W38" s="113"/>
      <c r="X38" s="133" t="e">
        <f>IF(ROW(E1575)-ROW($E$1548)&lt;ROWS(#REF!),IFERROR(IF(INDEX(list_cofunders[private?],MATCH(Budget!#REF!,list_cofunders[list cofunders],0),1)="yes",Budget!#REF!,""),""),"")</f>
        <v>#REF!</v>
      </c>
      <c r="Y38" s="134" t="e">
        <f>IF(ROW(E1678)-ROW($E$1651)&lt;ROWS(#REF!),IFERROR(IF(INDEX(list_cofunders[private?],MATCH(Budget!#REF!,list_cofunders[list cofunders],0),1)="yes",Budget!#REF!,""),""),"")</f>
        <v>#REF!</v>
      </c>
      <c r="Z38" s="113" t="str">
        <f>IFERROR(INDEX(#REF!,X38),"")</f>
        <v/>
      </c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CZ38" s="22"/>
      <c r="DA38" s="22"/>
      <c r="DB38" s="22"/>
      <c r="DC38" s="22"/>
      <c r="DD38" s="22"/>
      <c r="DE38" s="22"/>
      <c r="DF38" s="22"/>
      <c r="DG38" s="22"/>
      <c r="DH38" s="22"/>
    </row>
    <row r="39" spans="2:112" s="21" customFormat="1" ht="11.25" customHeight="1" outlineLevel="1" x14ac:dyDescent="0.35">
      <c r="B39" s="83" t="e">
        <f ca="1">IF(IFERROR(MATCH("*Other*",OFFSET(Budget!#REF!,B38,0,ROWS(#REF!),1),0)+B38,999)&lt;ROWS(#REF!),IFERROR(MATCH("*Other*",OFFSET(Budget!#REF!,B38,0,ROWS(#REF!),1),0)+B38,999),"")</f>
        <v>#REF!</v>
      </c>
      <c r="C39" s="70" t="str">
        <f ca="1">IFERROR(INDEX(#REF!,B39),"")</f>
        <v/>
      </c>
      <c r="E39" s="83" t="e">
        <f ca="1">IF(MIN(IFERROR(MATCH("*PostDoc*",OFFSET(Budget!#REF!,E38,0,ROWS(#REF!),1),0)+E38,999),IFERROR(MATCH("*PhD*",OFFSET(Budget!#REF!,E38,0,ROWS(#REF!),1),0)+E38,999),IFERROR(MATCH("*PDEng*",OFFSET(Budget!#REF!,E38,0,ROWS(#REF!),1),0)+E38,999))&lt;ROWS(#REF!),MIN(IFERROR(MATCH("*PostDoc*",OFFSET(Budget!#REF!,E38,0,ROWS(#REF!),1),0)+E38,999),IFERROR(MATCH("*PhD*",OFFSET(Budget!#REF!,E38,0,ROWS(#REF!),1),0)+E38,999),IFERROR(MATCH("*PDEng*",OFFSET(Budget!#REF!,E38,0,ROWS(#REF!),1),0)+E38,999)),"")</f>
        <v>#REF!</v>
      </c>
      <c r="F39" s="74" t="str">
        <f ca="1">IFERROR(INDEX(#REF!,E39)*INDEX(#REF!,E39)/12,"")</f>
        <v/>
      </c>
      <c r="G39" s="90"/>
      <c r="H39" s="83" t="e">
        <f ca="1">IF(IFERROR(MATCH("*researcher*",OFFSET(Budget!#REF!,H38,0,ROWS(#REF!),1),0)+H38,999)&lt;ROWS(#REF!),IFERROR(MATCH("*researcher*",OFFSET(Budget!#REF!,H38,0,ROWS(#REF!),1),0)+H38,999),"")</f>
        <v>#REF!</v>
      </c>
      <c r="I39" s="74" t="str">
        <f ca="1">IF(ISERROR(IF(AND(INDEX(#REF!,H39)&gt;=pers_oi_min_months,INDEX(#REF!,H39)/INDEX(#REF!,H39)*12/pers_other_nrhours_year&gt;=pers_oi_minFTE)=TRUE,INDEX(#REF!,H39)/12,0)),"",IF(AND(INDEX(#REF!,H39)&gt;=pers_oi_min_months,INDEX(#REF!,H39)/INDEX(#REF!,H39)*12/pers_other_nrhours_year&gt;=pers_oi_minFTE)=TRUE,INDEX(#REF!,H39)/12,""))</f>
        <v/>
      </c>
      <c r="J39" s="90"/>
      <c r="K39" s="83" t="e">
        <f ca="1">IF(IFERROR(MATCH("*Non-scientific*",OFFSET(Budget!#REF!,K38,0,ROWS(#REF!),1),0)+K38,999)&lt;ROWS(#REF!),IFERROR(MATCH("*Non-scientific*",OFFSET(Budget!#REF!,K38,0,ROWS(#REF!),1),0)+K38,999),"")</f>
        <v>#REF!</v>
      </c>
      <c r="L39" s="70" t="str">
        <f ca="1">IFERROR(INDEX(#REF!,K39),"")</f>
        <v/>
      </c>
      <c r="M39" s="113"/>
      <c r="N39" s="83" t="e">
        <f ca="1">IF(IFERROR(MATCH("*leave*",OFFSET(Budget!#REF!,N38,0,ROWS(#REF!),1),0)+N38,999)&lt;ROWS(#REF!),IFERROR(MATCH("*leave*",OFFSET(Budget!#REF!,N38,0,ROWS(#REF!),1),0)+N38,999),"")</f>
        <v>#REF!</v>
      </c>
      <c r="O39" s="88" t="str">
        <f ca="1">IFERROR(INDEX(#REF!,N39)*INDEX(#REF!,N39),"")</f>
        <v/>
      </c>
      <c r="P39" s="113"/>
      <c r="Q39" s="83" t="e">
        <f ca="1">IF(MIN(IFERROR(MATCH("*PostDoc*",OFFSET(Budget!#REF!,Q38,0,ROWS(#REF!)-Q38,1),0)+Q38,999),IFERROR(MATCH("*PhD*",OFFSET(Budget!#REF!,Q38,0,ROWS(#REF!)-Q38,1),0)+Q38,999),IFERROR(MATCH("*PDEng*",OFFSET(Budget!#REF!,Q38,0,ROWS(#REF!)-Q38,1),0)+Q38,999),IFERROR(MATCH("*Doctorate*",OFFSET(Budget!#REF!,Q38,0,ROWS(#REF!)-Q38,1),0)+Q38,999))&lt;ROWS(#REF!),MIN(IFERROR(MATCH("*PostDoc*",OFFSET(Budget!#REF!,Q38,0,ROWS(#REF!)-Q38,1),0)+Q38,999),IFERROR(MATCH("*PhD*",OFFSET(Budget!#REF!,Q38,0,ROWS(#REF!)-Q38,1),0)+Q38,999),IFERROR(MATCH("*PDEng*",OFFSET(Budget!#REF!,Q38,0,ROWS(#REF!)-Q38,1),0)+Q38,999),IFERROR(MATCH("*Doctorate*",OFFSET(Budget!#REF!,Q38,0,ROWS(#REF!)-Q38,1),0)+Q38,999)),"")</f>
        <v>#REF!</v>
      </c>
      <c r="R39" s="113" t="str">
        <f ca="1">IFERROR(INDEX(#REF!,Q39),"")</f>
        <v/>
      </c>
      <c r="S39" s="113" t="str">
        <f ca="1">IFERROR(INDEX(#REF!,Q39),"")</f>
        <v/>
      </c>
      <c r="T39" s="113" t="str">
        <f ca="1">IFERROR(INDEX(#REF!,Q39),"")</f>
        <v/>
      </c>
      <c r="U39" s="113" t="str">
        <f ca="1">SUBSTITUTE(IFERROR(INDEX(#REF!,Q39),""),0,"")</f>
        <v/>
      </c>
      <c r="V39" s="132" t="str">
        <f ca="1">SUBSTITUTE(IFERROR(INDEX(#REF!,Q39),""),0,"")</f>
        <v/>
      </c>
      <c r="W39" s="113"/>
      <c r="X39" s="133" t="e">
        <f>IF(ROW(E1576)-ROW($E$1548)&lt;ROWS(#REF!),IFERROR(IF(INDEX(list_cofunders[private?],MATCH(Budget!#REF!,list_cofunders[list cofunders],0),1)="yes",Budget!#REF!,""),""),"")</f>
        <v>#REF!</v>
      </c>
      <c r="Y39" s="134" t="e">
        <f>IF(ROW(E1679)-ROW($E$1651)&lt;ROWS(#REF!),IFERROR(IF(INDEX(list_cofunders[private?],MATCH(Budget!#REF!,list_cofunders[list cofunders],0),1)="yes",Budget!#REF!,""),""),"")</f>
        <v>#REF!</v>
      </c>
      <c r="Z39" s="113" t="str">
        <f>IFERROR(INDEX(#REF!,X39),"")</f>
        <v/>
      </c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CZ39" s="22"/>
      <c r="DA39" s="22"/>
      <c r="DB39" s="22"/>
      <c r="DC39" s="22"/>
      <c r="DD39" s="22"/>
      <c r="DE39" s="22"/>
      <c r="DF39" s="22"/>
      <c r="DG39" s="22"/>
      <c r="DH39" s="22"/>
    </row>
    <row r="40" spans="2:112" s="21" customFormat="1" ht="11.25" customHeight="1" outlineLevel="1" x14ac:dyDescent="0.35">
      <c r="B40" s="83" t="e">
        <f ca="1">IF(IFERROR(MATCH("*Other*",OFFSET(Budget!#REF!,B39,0,ROWS(#REF!),1),0)+B39,999)&lt;ROWS(#REF!),IFERROR(MATCH("*Other*",OFFSET(Budget!#REF!,B39,0,ROWS(#REF!),1),0)+B39,999),"")</f>
        <v>#REF!</v>
      </c>
      <c r="C40" s="70" t="str">
        <f ca="1">IFERROR(INDEX(#REF!,B40),"")</f>
        <v/>
      </c>
      <c r="E40" s="83" t="e">
        <f ca="1">IF(MIN(IFERROR(MATCH("*PostDoc*",OFFSET(Budget!#REF!,E39,0,ROWS(#REF!),1),0)+E39,999),IFERROR(MATCH("*PhD*",OFFSET(Budget!#REF!,E39,0,ROWS(#REF!),1),0)+E39,999),IFERROR(MATCH("*PDEng*",OFFSET(Budget!#REF!,E39,0,ROWS(#REF!),1),0)+E39,999))&lt;ROWS(#REF!),MIN(IFERROR(MATCH("*PostDoc*",OFFSET(Budget!#REF!,E39,0,ROWS(#REF!),1),0)+E39,999),IFERROR(MATCH("*PhD*",OFFSET(Budget!#REF!,E39,0,ROWS(#REF!),1),0)+E39,999),IFERROR(MATCH("*PDEng*",OFFSET(Budget!#REF!,E39,0,ROWS(#REF!),1),0)+E39,999)),"")</f>
        <v>#REF!</v>
      </c>
      <c r="F40" s="74" t="str">
        <f ca="1">IFERROR(INDEX(#REF!,E40)*INDEX(#REF!,E40)/12,"")</f>
        <v/>
      </c>
      <c r="G40" s="90"/>
      <c r="H40" s="83" t="e">
        <f ca="1">IF(IFERROR(MATCH("*researcher*",OFFSET(Budget!#REF!,H39,0,ROWS(#REF!),1),0)+H39,999)&lt;ROWS(#REF!),IFERROR(MATCH("*researcher*",OFFSET(Budget!#REF!,H39,0,ROWS(#REF!),1),0)+H39,999),"")</f>
        <v>#REF!</v>
      </c>
      <c r="I40" s="74" t="str">
        <f ca="1">IF(ISERROR(IF(AND(INDEX(#REF!,H40)&gt;=pers_oi_min_months,INDEX(#REF!,H40)/INDEX(#REF!,H40)*12/pers_other_nrhours_year&gt;=pers_oi_minFTE)=TRUE,INDEX(#REF!,H40)/12,0)),"",IF(AND(INDEX(#REF!,H40)&gt;=pers_oi_min_months,INDEX(#REF!,H40)/INDEX(#REF!,H40)*12/pers_other_nrhours_year&gt;=pers_oi_minFTE)=TRUE,INDEX(#REF!,H40)/12,""))</f>
        <v/>
      </c>
      <c r="J40" s="90"/>
      <c r="K40" s="83" t="e">
        <f ca="1">IF(IFERROR(MATCH("*Non-scientific*",OFFSET(Budget!#REF!,K39,0,ROWS(#REF!),1),0)+K39,999)&lt;ROWS(#REF!),IFERROR(MATCH("*Non-scientific*",OFFSET(Budget!#REF!,K39,0,ROWS(#REF!),1),0)+K39,999),"")</f>
        <v>#REF!</v>
      </c>
      <c r="L40" s="70" t="str">
        <f ca="1">IFERROR(INDEX(#REF!,K40),"")</f>
        <v/>
      </c>
      <c r="M40" s="113"/>
      <c r="N40" s="83" t="e">
        <f ca="1">IF(IFERROR(MATCH("*leave*",OFFSET(Budget!#REF!,N39,0,ROWS(#REF!),1),0)+N39,999)&lt;ROWS(#REF!),IFERROR(MATCH("*leave*",OFFSET(Budget!#REF!,N39,0,ROWS(#REF!),1),0)+N39,999),"")</f>
        <v>#REF!</v>
      </c>
      <c r="O40" s="88" t="str">
        <f ca="1">IFERROR(INDEX(#REF!,N40)*INDEX(#REF!,N40),"")</f>
        <v/>
      </c>
      <c r="P40" s="113"/>
      <c r="Q40" s="83" t="e">
        <f ca="1">IF(MIN(IFERROR(MATCH("*PostDoc*",OFFSET(Budget!#REF!,Q39,0,ROWS(#REF!)-Q39,1),0)+Q39,999),IFERROR(MATCH("*PhD*",OFFSET(Budget!#REF!,Q39,0,ROWS(#REF!)-Q39,1),0)+Q39,999),IFERROR(MATCH("*PDEng*",OFFSET(Budget!#REF!,Q39,0,ROWS(#REF!)-Q39,1),0)+Q39,999),IFERROR(MATCH("*Doctorate*",OFFSET(Budget!#REF!,Q39,0,ROWS(#REF!)-Q39,1),0)+Q39,999))&lt;ROWS(#REF!),MIN(IFERROR(MATCH("*PostDoc*",OFFSET(Budget!#REF!,Q39,0,ROWS(#REF!)-Q39,1),0)+Q39,999),IFERROR(MATCH("*PhD*",OFFSET(Budget!#REF!,Q39,0,ROWS(#REF!)-Q39,1),0)+Q39,999),IFERROR(MATCH("*PDEng*",OFFSET(Budget!#REF!,Q39,0,ROWS(#REF!)-Q39,1),0)+Q39,999),IFERROR(MATCH("*Doctorate*",OFFSET(Budget!#REF!,Q39,0,ROWS(#REF!)-Q39,1),0)+Q39,999)),"")</f>
        <v>#REF!</v>
      </c>
      <c r="R40" s="113" t="str">
        <f ca="1">IFERROR(INDEX(#REF!,Q40),"")</f>
        <v/>
      </c>
      <c r="S40" s="113" t="str">
        <f ca="1">IFERROR(INDEX(#REF!,Q40),"")</f>
        <v/>
      </c>
      <c r="T40" s="113" t="str">
        <f ca="1">IFERROR(INDEX(#REF!,Q40),"")</f>
        <v/>
      </c>
      <c r="U40" s="113" t="str">
        <f ca="1">SUBSTITUTE(IFERROR(INDEX(#REF!,Q40),""),0,"")</f>
        <v/>
      </c>
      <c r="V40" s="132" t="str">
        <f ca="1">SUBSTITUTE(IFERROR(INDEX(#REF!,Q40),""),0,"")</f>
        <v/>
      </c>
      <c r="W40" s="113"/>
      <c r="X40" s="133" t="e">
        <f>IF(ROW(E1577)-ROW($E$1548)&lt;ROWS(#REF!),IFERROR(IF(INDEX(list_cofunders[private?],MATCH(Budget!#REF!,list_cofunders[list cofunders],0),1)="yes",Budget!#REF!,""),""),"")</f>
        <v>#REF!</v>
      </c>
      <c r="Y40" s="134" t="e">
        <f>IF(ROW(E1680)-ROW($E$1651)&lt;ROWS(#REF!),IFERROR(IF(INDEX(list_cofunders[private?],MATCH(Budget!#REF!,list_cofunders[list cofunders],0),1)="yes",Budget!#REF!,""),""),"")</f>
        <v>#REF!</v>
      </c>
      <c r="Z40" s="113" t="str">
        <f>IFERROR(INDEX(#REF!,X40),"")</f>
        <v/>
      </c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CZ40" s="22"/>
      <c r="DA40" s="22"/>
      <c r="DB40" s="22"/>
      <c r="DC40" s="22"/>
      <c r="DD40" s="22"/>
      <c r="DE40" s="22"/>
      <c r="DF40" s="22"/>
      <c r="DG40" s="22"/>
      <c r="DH40" s="22"/>
    </row>
    <row r="41" spans="2:112" s="21" customFormat="1" ht="11.25" customHeight="1" outlineLevel="1" x14ac:dyDescent="0.35">
      <c r="B41" s="83" t="e">
        <f ca="1">IF(IFERROR(MATCH("*Other*",OFFSET(Budget!#REF!,B40,0,ROWS(#REF!),1),0)+B40,999)&lt;ROWS(#REF!),IFERROR(MATCH("*Other*",OFFSET(Budget!#REF!,B40,0,ROWS(#REF!),1),0)+B40,999),"")</f>
        <v>#REF!</v>
      </c>
      <c r="C41" s="70" t="str">
        <f ca="1">IFERROR(INDEX(#REF!,B41),"")</f>
        <v/>
      </c>
      <c r="E41" s="83" t="e">
        <f ca="1">IF(MIN(IFERROR(MATCH("*PostDoc*",OFFSET(Budget!#REF!,E40,0,ROWS(#REF!),1),0)+E40,999),IFERROR(MATCH("*PhD*",OFFSET(Budget!#REF!,E40,0,ROWS(#REF!),1),0)+E40,999),IFERROR(MATCH("*PDEng*",OFFSET(Budget!#REF!,E40,0,ROWS(#REF!),1),0)+E40,999))&lt;ROWS(#REF!),MIN(IFERROR(MATCH("*PostDoc*",OFFSET(Budget!#REF!,E40,0,ROWS(#REF!),1),0)+E40,999),IFERROR(MATCH("*PhD*",OFFSET(Budget!#REF!,E40,0,ROWS(#REF!),1),0)+E40,999),IFERROR(MATCH("*PDEng*",OFFSET(Budget!#REF!,E40,0,ROWS(#REF!),1),0)+E40,999)),"")</f>
        <v>#REF!</v>
      </c>
      <c r="F41" s="74" t="str">
        <f ca="1">IFERROR(INDEX(#REF!,E41)*INDEX(#REF!,E41)/12,"")</f>
        <v/>
      </c>
      <c r="G41" s="90"/>
      <c r="H41" s="83" t="e">
        <f ca="1">IF(IFERROR(MATCH("*researcher*",OFFSET(Budget!#REF!,H40,0,ROWS(#REF!),1),0)+H40,999)&lt;ROWS(#REF!),IFERROR(MATCH("*researcher*",OFFSET(Budget!#REF!,H40,0,ROWS(#REF!),1),0)+H40,999),"")</f>
        <v>#REF!</v>
      </c>
      <c r="I41" s="74" t="str">
        <f ca="1">IF(ISERROR(IF(AND(INDEX(#REF!,H41)&gt;=pers_oi_min_months,INDEX(#REF!,H41)/INDEX(#REF!,H41)*12/pers_other_nrhours_year&gt;=pers_oi_minFTE)=TRUE,INDEX(#REF!,H41)/12,0)),"",IF(AND(INDEX(#REF!,H41)&gt;=pers_oi_min_months,INDEX(#REF!,H41)/INDEX(#REF!,H41)*12/pers_other_nrhours_year&gt;=pers_oi_minFTE)=TRUE,INDEX(#REF!,H41)/12,""))</f>
        <v/>
      </c>
      <c r="J41" s="90"/>
      <c r="K41" s="83" t="e">
        <f ca="1">IF(IFERROR(MATCH("*Non-scientific*",OFFSET(Budget!#REF!,K40,0,ROWS(#REF!),1),0)+K40,999)&lt;ROWS(#REF!),IFERROR(MATCH("*Non-scientific*",OFFSET(Budget!#REF!,K40,0,ROWS(#REF!),1),0)+K40,999),"")</f>
        <v>#REF!</v>
      </c>
      <c r="L41" s="70" t="str">
        <f ca="1">IFERROR(INDEX(#REF!,K41),"")</f>
        <v/>
      </c>
      <c r="M41" s="113"/>
      <c r="N41" s="83" t="e">
        <f ca="1">IF(IFERROR(MATCH("*leave*",OFFSET(Budget!#REF!,N40,0,ROWS(#REF!),1),0)+N40,999)&lt;ROWS(#REF!),IFERROR(MATCH("*leave*",OFFSET(Budget!#REF!,N40,0,ROWS(#REF!),1),0)+N40,999),"")</f>
        <v>#REF!</v>
      </c>
      <c r="O41" s="88" t="str">
        <f ca="1">IFERROR(INDEX(#REF!,N41)*INDEX(#REF!,N41),"")</f>
        <v/>
      </c>
      <c r="P41" s="113"/>
      <c r="Q41" s="83" t="e">
        <f ca="1">IF(MIN(IFERROR(MATCH("*PostDoc*",OFFSET(Budget!#REF!,Q40,0,ROWS(#REF!)-Q40,1),0)+Q40,999),IFERROR(MATCH("*PhD*",OFFSET(Budget!#REF!,Q40,0,ROWS(#REF!)-Q40,1),0)+Q40,999),IFERROR(MATCH("*PDEng*",OFFSET(Budget!#REF!,Q40,0,ROWS(#REF!)-Q40,1),0)+Q40,999),IFERROR(MATCH("*Doctorate*",OFFSET(Budget!#REF!,Q40,0,ROWS(#REF!)-Q40,1),0)+Q40,999))&lt;ROWS(#REF!),MIN(IFERROR(MATCH("*PostDoc*",OFFSET(Budget!#REF!,Q40,0,ROWS(#REF!)-Q40,1),0)+Q40,999),IFERROR(MATCH("*PhD*",OFFSET(Budget!#REF!,Q40,0,ROWS(#REF!)-Q40,1),0)+Q40,999),IFERROR(MATCH("*PDEng*",OFFSET(Budget!#REF!,Q40,0,ROWS(#REF!)-Q40,1),0)+Q40,999),IFERROR(MATCH("*Doctorate*",OFFSET(Budget!#REF!,Q40,0,ROWS(#REF!)-Q40,1),0)+Q40,999)),"")</f>
        <v>#REF!</v>
      </c>
      <c r="R41" s="113" t="str">
        <f ca="1">IFERROR(INDEX(#REF!,Q41),"")</f>
        <v/>
      </c>
      <c r="S41" s="113" t="str">
        <f ca="1">IFERROR(INDEX(#REF!,Q41),"")</f>
        <v/>
      </c>
      <c r="T41" s="113" t="str">
        <f ca="1">IFERROR(INDEX(#REF!,Q41),"")</f>
        <v/>
      </c>
      <c r="U41" s="113" t="str">
        <f ca="1">SUBSTITUTE(IFERROR(INDEX(#REF!,Q41),""),0,"")</f>
        <v/>
      </c>
      <c r="V41" s="132" t="str">
        <f ca="1">SUBSTITUTE(IFERROR(INDEX(#REF!,Q41),""),0,"")</f>
        <v/>
      </c>
      <c r="W41" s="113"/>
      <c r="X41" s="133" t="e">
        <f>IF(ROW(E1578)-ROW($E$1548)&lt;ROWS(#REF!),IFERROR(IF(INDEX(list_cofunders[private?],MATCH(Budget!#REF!,list_cofunders[list cofunders],0),1)="yes",Budget!#REF!,""),""),"")</f>
        <v>#REF!</v>
      </c>
      <c r="Y41" s="134" t="e">
        <f>IF(ROW(E1681)-ROW($E$1651)&lt;ROWS(#REF!),IFERROR(IF(INDEX(list_cofunders[private?],MATCH(Budget!#REF!,list_cofunders[list cofunders],0),1)="yes",Budget!#REF!,""),""),"")</f>
        <v>#REF!</v>
      </c>
      <c r="Z41" s="113" t="str">
        <f>IFERROR(INDEX(#REF!,X41),"")</f>
        <v/>
      </c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CZ41" s="22"/>
      <c r="DA41" s="22"/>
      <c r="DB41" s="22"/>
      <c r="DC41" s="22"/>
      <c r="DD41" s="22"/>
      <c r="DE41" s="22"/>
      <c r="DF41" s="22"/>
      <c r="DG41" s="22"/>
      <c r="DH41" s="22"/>
    </row>
    <row r="42" spans="2:112" s="21" customFormat="1" ht="11.25" customHeight="1" outlineLevel="1" x14ac:dyDescent="0.35">
      <c r="B42" s="83" t="e">
        <f ca="1">IF(IFERROR(MATCH("*Other*",OFFSET(Budget!#REF!,B41,0,ROWS(#REF!),1),0)+B41,999)&lt;ROWS(#REF!),IFERROR(MATCH("*Other*",OFFSET(Budget!#REF!,B41,0,ROWS(#REF!),1),0)+B41,999),"")</f>
        <v>#REF!</v>
      </c>
      <c r="C42" s="70" t="str">
        <f ca="1">IFERROR(INDEX(#REF!,B42),"")</f>
        <v/>
      </c>
      <c r="E42" s="83" t="e">
        <f ca="1">IF(MIN(IFERROR(MATCH("*PostDoc*",OFFSET(Budget!#REF!,E41,0,ROWS(#REF!),1),0)+E41,999),IFERROR(MATCH("*PhD*",OFFSET(Budget!#REF!,E41,0,ROWS(#REF!),1),0)+E41,999),IFERROR(MATCH("*PDEng*",OFFSET(Budget!#REF!,E41,0,ROWS(#REF!),1),0)+E41,999))&lt;ROWS(#REF!),MIN(IFERROR(MATCH("*PostDoc*",OFFSET(Budget!#REF!,E41,0,ROWS(#REF!),1),0)+E41,999),IFERROR(MATCH("*PhD*",OFFSET(Budget!#REF!,E41,0,ROWS(#REF!),1),0)+E41,999),IFERROR(MATCH("*PDEng*",OFFSET(Budget!#REF!,E41,0,ROWS(#REF!),1),0)+E41,999)),"")</f>
        <v>#REF!</v>
      </c>
      <c r="F42" s="74" t="str">
        <f ca="1">IFERROR(INDEX(#REF!,E42)*INDEX(#REF!,E42)/12,"")</f>
        <v/>
      </c>
      <c r="G42" s="90"/>
      <c r="H42" s="83" t="e">
        <f ca="1">IF(IFERROR(MATCH("*researcher*",OFFSET(Budget!#REF!,H41,0,ROWS(#REF!),1),0)+H41,999)&lt;ROWS(#REF!),IFERROR(MATCH("*researcher*",OFFSET(Budget!#REF!,H41,0,ROWS(#REF!),1),0)+H41,999),"")</f>
        <v>#REF!</v>
      </c>
      <c r="I42" s="74" t="str">
        <f ca="1">IF(ISERROR(IF(AND(INDEX(#REF!,H42)&gt;=pers_oi_min_months,INDEX(#REF!,H42)/INDEX(#REF!,H42)*12/pers_other_nrhours_year&gt;=pers_oi_minFTE)=TRUE,INDEX(#REF!,H42)/12,0)),"",IF(AND(INDEX(#REF!,H42)&gt;=pers_oi_min_months,INDEX(#REF!,H42)/INDEX(#REF!,H42)*12/pers_other_nrhours_year&gt;=pers_oi_minFTE)=TRUE,INDEX(#REF!,H42)/12,""))</f>
        <v/>
      </c>
      <c r="J42" s="90"/>
      <c r="K42" s="83" t="e">
        <f ca="1">IF(IFERROR(MATCH("*Non-scientific*",OFFSET(Budget!#REF!,K41,0,ROWS(#REF!),1),0)+K41,999)&lt;ROWS(#REF!),IFERROR(MATCH("*Non-scientific*",OFFSET(Budget!#REF!,K41,0,ROWS(#REF!),1),0)+K41,999),"")</f>
        <v>#REF!</v>
      </c>
      <c r="L42" s="70" t="str">
        <f ca="1">IFERROR(INDEX(#REF!,K42),"")</f>
        <v/>
      </c>
      <c r="M42" s="113"/>
      <c r="N42" s="83" t="e">
        <f ca="1">IF(IFERROR(MATCH("*leave*",OFFSET(Budget!#REF!,N41,0,ROWS(#REF!),1),0)+N41,999)&lt;ROWS(#REF!),IFERROR(MATCH("*leave*",OFFSET(Budget!#REF!,N41,0,ROWS(#REF!),1),0)+N41,999),"")</f>
        <v>#REF!</v>
      </c>
      <c r="O42" s="88" t="str">
        <f ca="1">IFERROR(INDEX(#REF!,N42)*INDEX(#REF!,N42),"")</f>
        <v/>
      </c>
      <c r="P42" s="113"/>
      <c r="Q42" s="83" t="e">
        <f ca="1">IF(MIN(IFERROR(MATCH("*PostDoc*",OFFSET(Budget!#REF!,Q41,0,ROWS(#REF!)-Q41,1),0)+Q41,999),IFERROR(MATCH("*PhD*",OFFSET(Budget!#REF!,Q41,0,ROWS(#REF!)-Q41,1),0)+Q41,999),IFERROR(MATCH("*PDEng*",OFFSET(Budget!#REF!,Q41,0,ROWS(#REF!)-Q41,1),0)+Q41,999),IFERROR(MATCH("*Doctorate*",OFFSET(Budget!#REF!,Q41,0,ROWS(#REF!)-Q41,1),0)+Q41,999))&lt;ROWS(#REF!),MIN(IFERROR(MATCH("*PostDoc*",OFFSET(Budget!#REF!,Q41,0,ROWS(#REF!)-Q41,1),0)+Q41,999),IFERROR(MATCH("*PhD*",OFFSET(Budget!#REF!,Q41,0,ROWS(#REF!)-Q41,1),0)+Q41,999),IFERROR(MATCH("*PDEng*",OFFSET(Budget!#REF!,Q41,0,ROWS(#REF!)-Q41,1),0)+Q41,999),IFERROR(MATCH("*Doctorate*",OFFSET(Budget!#REF!,Q41,0,ROWS(#REF!)-Q41,1),0)+Q41,999)),"")</f>
        <v>#REF!</v>
      </c>
      <c r="R42" s="113" t="str">
        <f ca="1">IFERROR(INDEX(#REF!,Q42),"")</f>
        <v/>
      </c>
      <c r="S42" s="113" t="str">
        <f ca="1">IFERROR(INDEX(#REF!,Q42),"")</f>
        <v/>
      </c>
      <c r="T42" s="113" t="str">
        <f ca="1">IFERROR(INDEX(#REF!,Q42),"")</f>
        <v/>
      </c>
      <c r="U42" s="113" t="str">
        <f ca="1">SUBSTITUTE(IFERROR(INDEX(#REF!,Q42),""),0,"")</f>
        <v/>
      </c>
      <c r="V42" s="132" t="str">
        <f ca="1">SUBSTITUTE(IFERROR(INDEX(#REF!,Q42),""),0,"")</f>
        <v/>
      </c>
      <c r="W42" s="113"/>
      <c r="X42" s="133" t="e">
        <f>IF(ROW(E1579)-ROW($E$1548)&lt;ROWS(#REF!),IFERROR(IF(INDEX(list_cofunders[private?],MATCH(Budget!#REF!,list_cofunders[list cofunders],0),1)="yes",Budget!#REF!,""),""),"")</f>
        <v>#REF!</v>
      </c>
      <c r="Y42" s="134" t="e">
        <f>IF(ROW(E1682)-ROW($E$1651)&lt;ROWS(#REF!),IFERROR(IF(INDEX(list_cofunders[private?],MATCH(Budget!#REF!,list_cofunders[list cofunders],0),1)="yes",Budget!#REF!,""),""),"")</f>
        <v>#REF!</v>
      </c>
      <c r="Z42" s="113" t="str">
        <f>IFERROR(INDEX(#REF!,X42),"")</f>
        <v/>
      </c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CZ42" s="22"/>
      <c r="DA42" s="22"/>
      <c r="DB42" s="22"/>
      <c r="DC42" s="22"/>
      <c r="DD42" s="22"/>
      <c r="DE42" s="22"/>
      <c r="DF42" s="22"/>
      <c r="DG42" s="22"/>
      <c r="DH42" s="22"/>
    </row>
    <row r="43" spans="2:112" s="21" customFormat="1" ht="11.25" customHeight="1" outlineLevel="1" x14ac:dyDescent="0.35">
      <c r="B43" s="83" t="e">
        <f ca="1">IF(IFERROR(MATCH("*Other*",OFFSET(Budget!#REF!,B42,0,ROWS(#REF!),1),0)+B42,999)&lt;ROWS(#REF!),IFERROR(MATCH("*Other*",OFFSET(Budget!#REF!,B42,0,ROWS(#REF!),1),0)+B42,999),"")</f>
        <v>#REF!</v>
      </c>
      <c r="C43" s="70" t="str">
        <f ca="1">IFERROR(INDEX(#REF!,B43),"")</f>
        <v/>
      </c>
      <c r="E43" s="83" t="e">
        <f ca="1">IF(MIN(IFERROR(MATCH("*PostDoc*",OFFSET(Budget!#REF!,E42,0,ROWS(#REF!),1),0)+E42,999),IFERROR(MATCH("*PhD*",OFFSET(Budget!#REF!,E42,0,ROWS(#REF!),1),0)+E42,999),IFERROR(MATCH("*PDEng*",OFFSET(Budget!#REF!,E42,0,ROWS(#REF!),1),0)+E42,999))&lt;ROWS(#REF!),MIN(IFERROR(MATCH("*PostDoc*",OFFSET(Budget!#REF!,E42,0,ROWS(#REF!),1),0)+E42,999),IFERROR(MATCH("*PhD*",OFFSET(Budget!#REF!,E42,0,ROWS(#REF!),1),0)+E42,999),IFERROR(MATCH("*PDEng*",OFFSET(Budget!#REF!,E42,0,ROWS(#REF!),1),0)+E42,999)),"")</f>
        <v>#REF!</v>
      </c>
      <c r="F43" s="74" t="str">
        <f ca="1">IFERROR(INDEX(#REF!,E43)*INDEX(#REF!,E43)/12,"")</f>
        <v/>
      </c>
      <c r="G43" s="90"/>
      <c r="H43" s="83" t="e">
        <f ca="1">IF(IFERROR(MATCH("*researcher*",OFFSET(Budget!#REF!,H42,0,ROWS(#REF!),1),0)+H42,999)&lt;ROWS(#REF!),IFERROR(MATCH("*researcher*",OFFSET(Budget!#REF!,H42,0,ROWS(#REF!),1),0)+H42,999),"")</f>
        <v>#REF!</v>
      </c>
      <c r="I43" s="74" t="str">
        <f ca="1">IF(ISERROR(IF(AND(INDEX(#REF!,H43)&gt;=pers_oi_min_months,INDEX(#REF!,H43)/INDEX(#REF!,H43)*12/pers_other_nrhours_year&gt;=pers_oi_minFTE)=TRUE,INDEX(#REF!,H43)/12,0)),"",IF(AND(INDEX(#REF!,H43)&gt;=pers_oi_min_months,INDEX(#REF!,H43)/INDEX(#REF!,H43)*12/pers_other_nrhours_year&gt;=pers_oi_minFTE)=TRUE,INDEX(#REF!,H43)/12,""))</f>
        <v/>
      </c>
      <c r="J43" s="90"/>
      <c r="K43" s="83" t="e">
        <f ca="1">IF(IFERROR(MATCH("*Non-scientific*",OFFSET(Budget!#REF!,K42,0,ROWS(#REF!),1),0)+K42,999)&lt;ROWS(#REF!),IFERROR(MATCH("*Non-scientific*",OFFSET(Budget!#REF!,K42,0,ROWS(#REF!),1),0)+K42,999),"")</f>
        <v>#REF!</v>
      </c>
      <c r="L43" s="70" t="str">
        <f ca="1">IFERROR(INDEX(#REF!,K43),"")</f>
        <v/>
      </c>
      <c r="M43" s="113"/>
      <c r="N43" s="83" t="e">
        <f ca="1">IF(IFERROR(MATCH("*leave*",OFFSET(Budget!#REF!,N42,0,ROWS(#REF!),1),0)+N42,999)&lt;ROWS(#REF!),IFERROR(MATCH("*leave*",OFFSET(Budget!#REF!,N42,0,ROWS(#REF!),1),0)+N42,999),"")</f>
        <v>#REF!</v>
      </c>
      <c r="O43" s="88" t="str">
        <f ca="1">IFERROR(INDEX(#REF!,N43)*INDEX(#REF!,N43),"")</f>
        <v/>
      </c>
      <c r="P43" s="113"/>
      <c r="Q43" s="83" t="e">
        <f ca="1">IF(MIN(IFERROR(MATCH("*PostDoc*",OFFSET(Budget!#REF!,Q42,0,ROWS(#REF!)-Q42,1),0)+Q42,999),IFERROR(MATCH("*PhD*",OFFSET(Budget!#REF!,Q42,0,ROWS(#REF!)-Q42,1),0)+Q42,999),IFERROR(MATCH("*PDEng*",OFFSET(Budget!#REF!,Q42,0,ROWS(#REF!)-Q42,1),0)+Q42,999),IFERROR(MATCH("*Doctorate*",OFFSET(Budget!#REF!,Q42,0,ROWS(#REF!)-Q42,1),0)+Q42,999))&lt;ROWS(#REF!),MIN(IFERROR(MATCH("*PostDoc*",OFFSET(Budget!#REF!,Q42,0,ROWS(#REF!)-Q42,1),0)+Q42,999),IFERROR(MATCH("*PhD*",OFFSET(Budget!#REF!,Q42,0,ROWS(#REF!)-Q42,1),0)+Q42,999),IFERROR(MATCH("*PDEng*",OFFSET(Budget!#REF!,Q42,0,ROWS(#REF!)-Q42,1),0)+Q42,999),IFERROR(MATCH("*Doctorate*",OFFSET(Budget!#REF!,Q42,0,ROWS(#REF!)-Q42,1),0)+Q42,999)),"")</f>
        <v>#REF!</v>
      </c>
      <c r="R43" s="113" t="str">
        <f ca="1">IFERROR(INDEX(#REF!,Q43),"")</f>
        <v/>
      </c>
      <c r="S43" s="113" t="str">
        <f ca="1">IFERROR(INDEX(#REF!,Q43),"")</f>
        <v/>
      </c>
      <c r="T43" s="113" t="str">
        <f ca="1">IFERROR(INDEX(#REF!,Q43),"")</f>
        <v/>
      </c>
      <c r="U43" s="113" t="str">
        <f ca="1">SUBSTITUTE(IFERROR(INDEX(#REF!,Q43),""),0,"")</f>
        <v/>
      </c>
      <c r="V43" s="132" t="str">
        <f ca="1">SUBSTITUTE(IFERROR(INDEX(#REF!,Q43),""),0,"")</f>
        <v/>
      </c>
      <c r="W43" s="113"/>
      <c r="X43" s="133" t="e">
        <f>IF(ROW(E1580)-ROW($E$1548)&lt;ROWS(#REF!),IFERROR(IF(INDEX(list_cofunders[private?],MATCH(Budget!#REF!,list_cofunders[list cofunders],0),1)="yes",Budget!#REF!,""),""),"")</f>
        <v>#REF!</v>
      </c>
      <c r="Y43" s="134" t="e">
        <f>IF(ROW(E1683)-ROW($E$1651)&lt;ROWS(#REF!),IFERROR(IF(INDEX(list_cofunders[private?],MATCH(Budget!#REF!,list_cofunders[list cofunders],0),1)="yes",Budget!#REF!,""),""),"")</f>
        <v>#REF!</v>
      </c>
      <c r="Z43" s="113" t="str">
        <f>IFERROR(INDEX(#REF!,X43),"")</f>
        <v/>
      </c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CZ43" s="22"/>
      <c r="DA43" s="22"/>
      <c r="DB43" s="22"/>
      <c r="DC43" s="22"/>
      <c r="DD43" s="22"/>
      <c r="DE43" s="22"/>
      <c r="DF43" s="22"/>
      <c r="DG43" s="22"/>
      <c r="DH43" s="22"/>
    </row>
    <row r="44" spans="2:112" s="21" customFormat="1" ht="11.25" customHeight="1" outlineLevel="1" x14ac:dyDescent="0.35">
      <c r="B44" s="83" t="e">
        <f ca="1">IF(IFERROR(MATCH("*Other*",OFFSET(Budget!#REF!,B43,0,ROWS(#REF!),1),0)+B43,999)&lt;ROWS(#REF!),IFERROR(MATCH("*Other*",OFFSET(Budget!#REF!,B43,0,ROWS(#REF!),1),0)+B43,999),"")</f>
        <v>#REF!</v>
      </c>
      <c r="C44" s="70" t="str">
        <f ca="1">IFERROR(INDEX(#REF!,B44),"")</f>
        <v/>
      </c>
      <c r="E44" s="83" t="e">
        <f ca="1">IF(MIN(IFERROR(MATCH("*PostDoc*",OFFSET(Budget!#REF!,E43,0,ROWS(#REF!),1),0)+E43,999),IFERROR(MATCH("*PhD*",OFFSET(Budget!#REF!,E43,0,ROWS(#REF!),1),0)+E43,999),IFERROR(MATCH("*PDEng*",OFFSET(Budget!#REF!,E43,0,ROWS(#REF!),1),0)+E43,999))&lt;ROWS(#REF!),MIN(IFERROR(MATCH("*PostDoc*",OFFSET(Budget!#REF!,E43,0,ROWS(#REF!),1),0)+E43,999),IFERROR(MATCH("*PhD*",OFFSET(Budget!#REF!,E43,0,ROWS(#REF!),1),0)+E43,999),IFERROR(MATCH("*PDEng*",OFFSET(Budget!#REF!,E43,0,ROWS(#REF!),1),0)+E43,999)),"")</f>
        <v>#REF!</v>
      </c>
      <c r="F44" s="74" t="str">
        <f ca="1">IFERROR(INDEX(#REF!,E44)*INDEX(#REF!,E44)/12,"")</f>
        <v/>
      </c>
      <c r="G44" s="90"/>
      <c r="H44" s="83" t="e">
        <f ca="1">IF(IFERROR(MATCH("*researcher*",OFFSET(Budget!#REF!,H43,0,ROWS(#REF!),1),0)+H43,999)&lt;ROWS(#REF!),IFERROR(MATCH("*researcher*",OFFSET(Budget!#REF!,H43,0,ROWS(#REF!),1),0)+H43,999),"")</f>
        <v>#REF!</v>
      </c>
      <c r="I44" s="74" t="str">
        <f ca="1">IF(ISERROR(IF(AND(INDEX(#REF!,H44)&gt;=pers_oi_min_months,INDEX(#REF!,H44)/INDEX(#REF!,H44)*12/pers_other_nrhours_year&gt;=pers_oi_minFTE)=TRUE,INDEX(#REF!,H44)/12,0)),"",IF(AND(INDEX(#REF!,H44)&gt;=pers_oi_min_months,INDEX(#REF!,H44)/INDEX(#REF!,H44)*12/pers_other_nrhours_year&gt;=pers_oi_minFTE)=TRUE,INDEX(#REF!,H44)/12,""))</f>
        <v/>
      </c>
      <c r="J44" s="90"/>
      <c r="K44" s="83" t="e">
        <f ca="1">IF(IFERROR(MATCH("*Non-scientific*",OFFSET(Budget!#REF!,K43,0,ROWS(#REF!),1),0)+K43,999)&lt;ROWS(#REF!),IFERROR(MATCH("*Non-scientific*",OFFSET(Budget!#REF!,K43,0,ROWS(#REF!),1),0)+K43,999),"")</f>
        <v>#REF!</v>
      </c>
      <c r="L44" s="70" t="str">
        <f ca="1">IFERROR(INDEX(#REF!,K44),"")</f>
        <v/>
      </c>
      <c r="M44" s="113"/>
      <c r="N44" s="83" t="e">
        <f ca="1">IF(IFERROR(MATCH("*leave*",OFFSET(Budget!#REF!,N43,0,ROWS(#REF!),1),0)+N43,999)&lt;ROWS(#REF!),IFERROR(MATCH("*leave*",OFFSET(Budget!#REF!,N43,0,ROWS(#REF!),1),0)+N43,999),"")</f>
        <v>#REF!</v>
      </c>
      <c r="O44" s="88" t="str">
        <f ca="1">IFERROR(INDEX(#REF!,N44)*INDEX(#REF!,N44),"")</f>
        <v/>
      </c>
      <c r="P44" s="113"/>
      <c r="Q44" s="83" t="e">
        <f ca="1">IF(MIN(IFERROR(MATCH("*PostDoc*",OFFSET(Budget!#REF!,Q43,0,ROWS(#REF!)-Q43,1),0)+Q43,999),IFERROR(MATCH("*PhD*",OFFSET(Budget!#REF!,Q43,0,ROWS(#REF!)-Q43,1),0)+Q43,999),IFERROR(MATCH("*PDEng*",OFFSET(Budget!#REF!,Q43,0,ROWS(#REF!)-Q43,1),0)+Q43,999),IFERROR(MATCH("*Doctorate*",OFFSET(Budget!#REF!,Q43,0,ROWS(#REF!)-Q43,1),0)+Q43,999))&lt;ROWS(#REF!),MIN(IFERROR(MATCH("*PostDoc*",OFFSET(Budget!#REF!,Q43,0,ROWS(#REF!)-Q43,1),0)+Q43,999),IFERROR(MATCH("*PhD*",OFFSET(Budget!#REF!,Q43,0,ROWS(#REF!)-Q43,1),0)+Q43,999),IFERROR(MATCH("*PDEng*",OFFSET(Budget!#REF!,Q43,0,ROWS(#REF!)-Q43,1),0)+Q43,999),IFERROR(MATCH("*Doctorate*",OFFSET(Budget!#REF!,Q43,0,ROWS(#REF!)-Q43,1),0)+Q43,999)),"")</f>
        <v>#REF!</v>
      </c>
      <c r="R44" s="113" t="str">
        <f ca="1">IFERROR(INDEX(#REF!,Q44),"")</f>
        <v/>
      </c>
      <c r="S44" s="113" t="str">
        <f ca="1">IFERROR(INDEX(#REF!,Q44),"")</f>
        <v/>
      </c>
      <c r="T44" s="113" t="str">
        <f ca="1">IFERROR(INDEX(#REF!,Q44),"")</f>
        <v/>
      </c>
      <c r="U44" s="113" t="str">
        <f ca="1">SUBSTITUTE(IFERROR(INDEX(#REF!,Q44),""),0,"")</f>
        <v/>
      </c>
      <c r="V44" s="132" t="str">
        <f ca="1">SUBSTITUTE(IFERROR(INDEX(#REF!,Q44),""),0,"")</f>
        <v/>
      </c>
      <c r="W44" s="113"/>
      <c r="X44" s="133" t="e">
        <f>IF(ROW(E1581)-ROW($E$1548)&lt;ROWS(#REF!),IFERROR(IF(INDEX(list_cofunders[private?],MATCH(Budget!#REF!,list_cofunders[list cofunders],0),1)="yes",Budget!#REF!,""),""),"")</f>
        <v>#REF!</v>
      </c>
      <c r="Y44" s="134" t="e">
        <f>IF(ROW(E1684)-ROW($E$1651)&lt;ROWS(#REF!),IFERROR(IF(INDEX(list_cofunders[private?],MATCH(Budget!#REF!,list_cofunders[list cofunders],0),1)="yes",Budget!#REF!,""),""),"")</f>
        <v>#REF!</v>
      </c>
      <c r="Z44" s="113" t="str">
        <f>IFERROR(INDEX(#REF!,X44),"")</f>
        <v/>
      </c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CZ44" s="22"/>
      <c r="DA44" s="22"/>
      <c r="DB44" s="22"/>
      <c r="DC44" s="22"/>
      <c r="DD44" s="22"/>
      <c r="DE44" s="22"/>
      <c r="DF44" s="22"/>
      <c r="DG44" s="22"/>
      <c r="DH44" s="22"/>
    </row>
    <row r="45" spans="2:112" s="21" customFormat="1" ht="11.25" customHeight="1" outlineLevel="1" x14ac:dyDescent="0.35">
      <c r="B45" s="83" t="e">
        <f ca="1">IF(IFERROR(MATCH("*Other*",OFFSET(Budget!#REF!,B44,0,ROWS(#REF!),1),0)+B44,999)&lt;ROWS(#REF!),IFERROR(MATCH("*Other*",OFFSET(Budget!#REF!,B44,0,ROWS(#REF!),1),0)+B44,999),"")</f>
        <v>#REF!</v>
      </c>
      <c r="C45" s="70" t="str">
        <f ca="1">IFERROR(INDEX(#REF!,B45),"")</f>
        <v/>
      </c>
      <c r="E45" s="83" t="e">
        <f ca="1">IF(MIN(IFERROR(MATCH("*PostDoc*",OFFSET(Budget!#REF!,E44,0,ROWS(#REF!),1),0)+E44,999),IFERROR(MATCH("*PhD*",OFFSET(Budget!#REF!,E44,0,ROWS(#REF!),1),0)+E44,999),IFERROR(MATCH("*PDEng*",OFFSET(Budget!#REF!,E44,0,ROWS(#REF!),1),0)+E44,999))&lt;ROWS(#REF!),MIN(IFERROR(MATCH("*PostDoc*",OFFSET(Budget!#REF!,E44,0,ROWS(#REF!),1),0)+E44,999),IFERROR(MATCH("*PhD*",OFFSET(Budget!#REF!,E44,0,ROWS(#REF!),1),0)+E44,999),IFERROR(MATCH("*PDEng*",OFFSET(Budget!#REF!,E44,0,ROWS(#REF!),1),0)+E44,999)),"")</f>
        <v>#REF!</v>
      </c>
      <c r="F45" s="74" t="str">
        <f ca="1">IFERROR(INDEX(#REF!,E45)*INDEX(#REF!,E45)/12,"")</f>
        <v/>
      </c>
      <c r="G45" s="90"/>
      <c r="H45" s="83" t="e">
        <f ca="1">IF(IFERROR(MATCH("*researcher*",OFFSET(Budget!#REF!,H44,0,ROWS(#REF!),1),0)+H44,999)&lt;ROWS(#REF!),IFERROR(MATCH("*researcher*",OFFSET(Budget!#REF!,H44,0,ROWS(#REF!),1),0)+H44,999),"")</f>
        <v>#REF!</v>
      </c>
      <c r="I45" s="74" t="str">
        <f ca="1">IF(ISERROR(IF(AND(INDEX(#REF!,H45)&gt;=pers_oi_min_months,INDEX(#REF!,H45)/INDEX(#REF!,H45)*12/pers_other_nrhours_year&gt;=pers_oi_minFTE)=TRUE,INDEX(#REF!,H45)/12,0)),"",IF(AND(INDEX(#REF!,H45)&gt;=pers_oi_min_months,INDEX(#REF!,H45)/INDEX(#REF!,H45)*12/pers_other_nrhours_year&gt;=pers_oi_minFTE)=TRUE,INDEX(#REF!,H45)/12,""))</f>
        <v/>
      </c>
      <c r="J45" s="90"/>
      <c r="K45" s="83" t="e">
        <f ca="1">IF(IFERROR(MATCH("*Non-scientific*",OFFSET(Budget!#REF!,K44,0,ROWS(#REF!),1),0)+K44,999)&lt;ROWS(#REF!),IFERROR(MATCH("*Non-scientific*",OFFSET(Budget!#REF!,K44,0,ROWS(#REF!),1),0)+K44,999),"")</f>
        <v>#REF!</v>
      </c>
      <c r="L45" s="70" t="str">
        <f ca="1">IFERROR(INDEX(#REF!,K45),"")</f>
        <v/>
      </c>
      <c r="M45" s="113"/>
      <c r="N45" s="83" t="e">
        <f ca="1">IF(IFERROR(MATCH("*leave*",OFFSET(Budget!#REF!,N44,0,ROWS(#REF!),1),0)+N44,999)&lt;ROWS(#REF!),IFERROR(MATCH("*leave*",OFFSET(Budget!#REF!,N44,0,ROWS(#REF!),1),0)+N44,999),"")</f>
        <v>#REF!</v>
      </c>
      <c r="O45" s="88" t="str">
        <f ca="1">IFERROR(INDEX(#REF!,N45)*INDEX(#REF!,N45),"")</f>
        <v/>
      </c>
      <c r="P45" s="113"/>
      <c r="Q45" s="83" t="e">
        <f ca="1">IF(MIN(IFERROR(MATCH("*PostDoc*",OFFSET(Budget!#REF!,Q44,0,ROWS(#REF!)-Q44,1),0)+Q44,999),IFERROR(MATCH("*PhD*",OFFSET(Budget!#REF!,Q44,0,ROWS(#REF!)-Q44,1),0)+Q44,999),IFERROR(MATCH("*PDEng*",OFFSET(Budget!#REF!,Q44,0,ROWS(#REF!)-Q44,1),0)+Q44,999),IFERROR(MATCH("*Doctorate*",OFFSET(Budget!#REF!,Q44,0,ROWS(#REF!)-Q44,1),0)+Q44,999))&lt;ROWS(#REF!),MIN(IFERROR(MATCH("*PostDoc*",OFFSET(Budget!#REF!,Q44,0,ROWS(#REF!)-Q44,1),0)+Q44,999),IFERROR(MATCH("*PhD*",OFFSET(Budget!#REF!,Q44,0,ROWS(#REF!)-Q44,1),0)+Q44,999),IFERROR(MATCH("*PDEng*",OFFSET(Budget!#REF!,Q44,0,ROWS(#REF!)-Q44,1),0)+Q44,999),IFERROR(MATCH("*Doctorate*",OFFSET(Budget!#REF!,Q44,0,ROWS(#REF!)-Q44,1),0)+Q44,999)),"")</f>
        <v>#REF!</v>
      </c>
      <c r="R45" s="113" t="str">
        <f ca="1">IFERROR(INDEX(#REF!,Q45),"")</f>
        <v/>
      </c>
      <c r="S45" s="113" t="str">
        <f ca="1">IFERROR(INDEX(#REF!,Q45),"")</f>
        <v/>
      </c>
      <c r="T45" s="113" t="str">
        <f ca="1">IFERROR(INDEX(#REF!,Q45),"")</f>
        <v/>
      </c>
      <c r="U45" s="113" t="str">
        <f ca="1">SUBSTITUTE(IFERROR(INDEX(#REF!,Q45),""),0,"")</f>
        <v/>
      </c>
      <c r="V45" s="132" t="str">
        <f ca="1">SUBSTITUTE(IFERROR(INDEX(#REF!,Q45),""),0,"")</f>
        <v/>
      </c>
      <c r="W45" s="113"/>
      <c r="X45" s="133" t="e">
        <f>IF(ROW(E1582)-ROW($E$1548)&lt;ROWS(#REF!),IFERROR(IF(INDEX(list_cofunders[private?],MATCH(Budget!#REF!,list_cofunders[list cofunders],0),1)="yes",Budget!#REF!,""),""),"")</f>
        <v>#REF!</v>
      </c>
      <c r="Y45" s="134" t="e">
        <f>IF(ROW(E1685)-ROW($E$1651)&lt;ROWS(#REF!),IFERROR(IF(INDEX(list_cofunders[private?],MATCH(Budget!#REF!,list_cofunders[list cofunders],0),1)="yes",Budget!#REF!,""),""),"")</f>
        <v>#REF!</v>
      </c>
      <c r="Z45" s="113" t="str">
        <f>IFERROR(INDEX(#REF!,X45),"")</f>
        <v/>
      </c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CZ45" s="22"/>
      <c r="DA45" s="22"/>
      <c r="DB45" s="22"/>
      <c r="DC45" s="22"/>
      <c r="DD45" s="22"/>
      <c r="DE45" s="22"/>
      <c r="DF45" s="22"/>
      <c r="DG45" s="22"/>
      <c r="DH45" s="22"/>
    </row>
    <row r="46" spans="2:112" s="21" customFormat="1" ht="11.25" customHeight="1" outlineLevel="1" x14ac:dyDescent="0.35">
      <c r="B46" s="83" t="e">
        <f ca="1">IF(IFERROR(MATCH("*Other*",OFFSET(Budget!#REF!,B45,0,ROWS(#REF!),1),0)+B45,999)&lt;ROWS(#REF!),IFERROR(MATCH("*Other*",OFFSET(Budget!#REF!,B45,0,ROWS(#REF!),1),0)+B45,999),"")</f>
        <v>#REF!</v>
      </c>
      <c r="C46" s="70" t="str">
        <f ca="1">IFERROR(INDEX(#REF!,B46),"")</f>
        <v/>
      </c>
      <c r="E46" s="83" t="e">
        <f ca="1">IF(MIN(IFERROR(MATCH("*PostDoc*",OFFSET(Budget!#REF!,E45,0,ROWS(#REF!),1),0)+E45,999),IFERROR(MATCH("*PhD*",OFFSET(Budget!#REF!,E45,0,ROWS(#REF!),1),0)+E45,999),IFERROR(MATCH("*PDEng*",OFFSET(Budget!#REF!,E45,0,ROWS(#REF!),1),0)+E45,999))&lt;ROWS(#REF!),MIN(IFERROR(MATCH("*PostDoc*",OFFSET(Budget!#REF!,E45,0,ROWS(#REF!),1),0)+E45,999),IFERROR(MATCH("*PhD*",OFFSET(Budget!#REF!,E45,0,ROWS(#REF!),1),0)+E45,999),IFERROR(MATCH("*PDEng*",OFFSET(Budget!#REF!,E45,0,ROWS(#REF!),1),0)+E45,999)),"")</f>
        <v>#REF!</v>
      </c>
      <c r="F46" s="74" t="str">
        <f ca="1">IFERROR(INDEX(#REF!,E46)*INDEX(#REF!,E46)/12,"")</f>
        <v/>
      </c>
      <c r="G46" s="90"/>
      <c r="H46" s="83" t="e">
        <f ca="1">IF(IFERROR(MATCH("*researcher*",OFFSET(Budget!#REF!,H45,0,ROWS(#REF!),1),0)+H45,999)&lt;ROWS(#REF!),IFERROR(MATCH("*researcher*",OFFSET(Budget!#REF!,H45,0,ROWS(#REF!),1),0)+H45,999),"")</f>
        <v>#REF!</v>
      </c>
      <c r="I46" s="74" t="str">
        <f ca="1">IF(ISERROR(IF(AND(INDEX(#REF!,H46)&gt;=pers_oi_min_months,INDEX(#REF!,H46)/INDEX(#REF!,H46)*12/pers_other_nrhours_year&gt;=pers_oi_minFTE)=TRUE,INDEX(#REF!,H46)/12,0)),"",IF(AND(INDEX(#REF!,H46)&gt;=pers_oi_min_months,INDEX(#REF!,H46)/INDEX(#REF!,H46)*12/pers_other_nrhours_year&gt;=pers_oi_minFTE)=TRUE,INDEX(#REF!,H46)/12,""))</f>
        <v/>
      </c>
      <c r="J46" s="90"/>
      <c r="K46" s="83" t="e">
        <f ca="1">IF(IFERROR(MATCH("*Non-scientific*",OFFSET(Budget!#REF!,K45,0,ROWS(#REF!),1),0)+K45,999)&lt;ROWS(#REF!),IFERROR(MATCH("*Non-scientific*",OFFSET(Budget!#REF!,K45,0,ROWS(#REF!),1),0)+K45,999),"")</f>
        <v>#REF!</v>
      </c>
      <c r="L46" s="70" t="str">
        <f ca="1">IFERROR(INDEX(#REF!,K46),"")</f>
        <v/>
      </c>
      <c r="M46" s="113"/>
      <c r="N46" s="83" t="e">
        <f ca="1">IF(IFERROR(MATCH("*leave*",OFFSET(Budget!#REF!,N45,0,ROWS(#REF!),1),0)+N45,999)&lt;ROWS(#REF!),IFERROR(MATCH("*leave*",OFFSET(Budget!#REF!,N45,0,ROWS(#REF!),1),0)+N45,999),"")</f>
        <v>#REF!</v>
      </c>
      <c r="O46" s="88" t="str">
        <f ca="1">IFERROR(INDEX(#REF!,N46)*INDEX(#REF!,N46),"")</f>
        <v/>
      </c>
      <c r="P46" s="113"/>
      <c r="Q46" s="83" t="e">
        <f ca="1">IF(MIN(IFERROR(MATCH("*PostDoc*",OFFSET(Budget!#REF!,Q45,0,ROWS(#REF!)-Q45,1),0)+Q45,999),IFERROR(MATCH("*PhD*",OFFSET(Budget!#REF!,Q45,0,ROWS(#REF!)-Q45,1),0)+Q45,999),IFERROR(MATCH("*PDEng*",OFFSET(Budget!#REF!,Q45,0,ROWS(#REF!)-Q45,1),0)+Q45,999),IFERROR(MATCH("*Doctorate*",OFFSET(Budget!#REF!,Q45,0,ROWS(#REF!)-Q45,1),0)+Q45,999))&lt;ROWS(#REF!),MIN(IFERROR(MATCH("*PostDoc*",OFFSET(Budget!#REF!,Q45,0,ROWS(#REF!)-Q45,1),0)+Q45,999),IFERROR(MATCH("*PhD*",OFFSET(Budget!#REF!,Q45,0,ROWS(#REF!)-Q45,1),0)+Q45,999),IFERROR(MATCH("*PDEng*",OFFSET(Budget!#REF!,Q45,0,ROWS(#REF!)-Q45,1),0)+Q45,999),IFERROR(MATCH("*Doctorate*",OFFSET(Budget!#REF!,Q45,0,ROWS(#REF!)-Q45,1),0)+Q45,999)),"")</f>
        <v>#REF!</v>
      </c>
      <c r="R46" s="113" t="str">
        <f ca="1">IFERROR(INDEX(#REF!,Q46),"")</f>
        <v/>
      </c>
      <c r="S46" s="113" t="str">
        <f ca="1">IFERROR(INDEX(#REF!,Q46),"")</f>
        <v/>
      </c>
      <c r="T46" s="113" t="str">
        <f ca="1">IFERROR(INDEX(#REF!,Q46),"")</f>
        <v/>
      </c>
      <c r="U46" s="113" t="str">
        <f ca="1">SUBSTITUTE(IFERROR(INDEX(#REF!,Q46),""),0,"")</f>
        <v/>
      </c>
      <c r="V46" s="132" t="str">
        <f ca="1">SUBSTITUTE(IFERROR(INDEX(#REF!,Q46),""),0,"")</f>
        <v/>
      </c>
      <c r="W46" s="113"/>
      <c r="X46" s="133" t="e">
        <f>IF(ROW(E1583)-ROW($E$1548)&lt;ROWS(#REF!),IFERROR(IF(INDEX(list_cofunders[private?],MATCH(Budget!#REF!,list_cofunders[list cofunders],0),1)="yes",Budget!#REF!,""),""),"")</f>
        <v>#REF!</v>
      </c>
      <c r="Y46" s="134" t="e">
        <f>IF(ROW(E1686)-ROW($E$1651)&lt;ROWS(#REF!),IFERROR(IF(INDEX(list_cofunders[private?],MATCH(Budget!#REF!,list_cofunders[list cofunders],0),1)="yes",Budget!#REF!,""),""),"")</f>
        <v>#REF!</v>
      </c>
      <c r="Z46" s="113" t="str">
        <f>IFERROR(INDEX(#REF!,X46),"")</f>
        <v/>
      </c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CZ46" s="22"/>
      <c r="DA46" s="22"/>
      <c r="DB46" s="22"/>
      <c r="DC46" s="22"/>
      <c r="DD46" s="22"/>
      <c r="DE46" s="22"/>
      <c r="DF46" s="22"/>
      <c r="DG46" s="22"/>
      <c r="DH46" s="22"/>
    </row>
    <row r="47" spans="2:112" s="21" customFormat="1" ht="11.25" customHeight="1" outlineLevel="1" x14ac:dyDescent="0.35">
      <c r="B47" s="83" t="e">
        <f ca="1">IF(IFERROR(MATCH("*Other*",OFFSET(Budget!#REF!,B46,0,ROWS(#REF!),1),0)+B46,999)&lt;ROWS(#REF!),IFERROR(MATCH("*Other*",OFFSET(Budget!#REF!,B46,0,ROWS(#REF!),1),0)+B46,999),"")</f>
        <v>#REF!</v>
      </c>
      <c r="C47" s="70" t="str">
        <f ca="1">IFERROR(INDEX(#REF!,B47),"")</f>
        <v/>
      </c>
      <c r="E47" s="83" t="e">
        <f ca="1">IF(MIN(IFERROR(MATCH("*PostDoc*",OFFSET(Budget!#REF!,E46,0,ROWS(#REF!),1),0)+E46,999),IFERROR(MATCH("*PhD*",OFFSET(Budget!#REF!,E46,0,ROWS(#REF!),1),0)+E46,999),IFERROR(MATCH("*PDEng*",OFFSET(Budget!#REF!,E46,0,ROWS(#REF!),1),0)+E46,999))&lt;ROWS(#REF!),MIN(IFERROR(MATCH("*PostDoc*",OFFSET(Budget!#REF!,E46,0,ROWS(#REF!),1),0)+E46,999),IFERROR(MATCH("*PhD*",OFFSET(Budget!#REF!,E46,0,ROWS(#REF!),1),0)+E46,999),IFERROR(MATCH("*PDEng*",OFFSET(Budget!#REF!,E46,0,ROWS(#REF!),1),0)+E46,999)),"")</f>
        <v>#REF!</v>
      </c>
      <c r="F47" s="74" t="str">
        <f ca="1">IFERROR(INDEX(#REF!,E47)*INDEX(#REF!,E47)/12,"")</f>
        <v/>
      </c>
      <c r="G47" s="90"/>
      <c r="H47" s="83" t="e">
        <f ca="1">IF(IFERROR(MATCH("*researcher*",OFFSET(Budget!#REF!,H46,0,ROWS(#REF!),1),0)+H46,999)&lt;ROWS(#REF!),IFERROR(MATCH("*researcher*",OFFSET(Budget!#REF!,H46,0,ROWS(#REF!),1),0)+H46,999),"")</f>
        <v>#REF!</v>
      </c>
      <c r="I47" s="74" t="str">
        <f ca="1">IF(ISERROR(IF(AND(INDEX(#REF!,H47)&gt;=pers_oi_min_months,INDEX(#REF!,H47)/INDEX(#REF!,H47)*12/pers_other_nrhours_year&gt;=pers_oi_minFTE)=TRUE,INDEX(#REF!,H47)/12,0)),"",IF(AND(INDEX(#REF!,H47)&gt;=pers_oi_min_months,INDEX(#REF!,H47)/INDEX(#REF!,H47)*12/pers_other_nrhours_year&gt;=pers_oi_minFTE)=TRUE,INDEX(#REF!,H47)/12,""))</f>
        <v/>
      </c>
      <c r="J47" s="90"/>
      <c r="K47" s="83" t="e">
        <f ca="1">IF(IFERROR(MATCH("*Non-scientific*",OFFSET(Budget!#REF!,K46,0,ROWS(#REF!),1),0)+K46,999)&lt;ROWS(#REF!),IFERROR(MATCH("*Non-scientific*",OFFSET(Budget!#REF!,K46,0,ROWS(#REF!),1),0)+K46,999),"")</f>
        <v>#REF!</v>
      </c>
      <c r="L47" s="70" t="str">
        <f ca="1">IFERROR(INDEX(#REF!,K47),"")</f>
        <v/>
      </c>
      <c r="M47" s="113"/>
      <c r="N47" s="83" t="e">
        <f ca="1">IF(IFERROR(MATCH("*leave*",OFFSET(Budget!#REF!,N46,0,ROWS(#REF!),1),0)+N46,999)&lt;ROWS(#REF!),IFERROR(MATCH("*leave*",OFFSET(Budget!#REF!,N46,0,ROWS(#REF!),1),0)+N46,999),"")</f>
        <v>#REF!</v>
      </c>
      <c r="O47" s="88" t="str">
        <f ca="1">IFERROR(INDEX(#REF!,N47)*INDEX(#REF!,N47),"")</f>
        <v/>
      </c>
      <c r="P47" s="113"/>
      <c r="Q47" s="83" t="e">
        <f ca="1">IF(MIN(IFERROR(MATCH("*PostDoc*",OFFSET(Budget!#REF!,Q46,0,ROWS(#REF!)-Q46,1),0)+Q46,999),IFERROR(MATCH("*PhD*",OFFSET(Budget!#REF!,Q46,0,ROWS(#REF!)-Q46,1),0)+Q46,999),IFERROR(MATCH("*PDEng*",OFFSET(Budget!#REF!,Q46,0,ROWS(#REF!)-Q46,1),0)+Q46,999),IFERROR(MATCH("*Doctorate*",OFFSET(Budget!#REF!,Q46,0,ROWS(#REF!)-Q46,1),0)+Q46,999))&lt;ROWS(#REF!),MIN(IFERROR(MATCH("*PostDoc*",OFFSET(Budget!#REF!,Q46,0,ROWS(#REF!)-Q46,1),0)+Q46,999),IFERROR(MATCH("*PhD*",OFFSET(Budget!#REF!,Q46,0,ROWS(#REF!)-Q46,1),0)+Q46,999),IFERROR(MATCH("*PDEng*",OFFSET(Budget!#REF!,Q46,0,ROWS(#REF!)-Q46,1),0)+Q46,999),IFERROR(MATCH("*Doctorate*",OFFSET(Budget!#REF!,Q46,0,ROWS(#REF!)-Q46,1),0)+Q46,999)),"")</f>
        <v>#REF!</v>
      </c>
      <c r="R47" s="113" t="str">
        <f ca="1">IFERROR(INDEX(#REF!,Q47),"")</f>
        <v/>
      </c>
      <c r="S47" s="113" t="str">
        <f ca="1">IFERROR(INDEX(#REF!,Q47),"")</f>
        <v/>
      </c>
      <c r="T47" s="113" t="str">
        <f ca="1">IFERROR(INDEX(#REF!,Q47),"")</f>
        <v/>
      </c>
      <c r="U47" s="113" t="str">
        <f ca="1">SUBSTITUTE(IFERROR(INDEX(#REF!,Q47),""),0,"")</f>
        <v/>
      </c>
      <c r="V47" s="132" t="str">
        <f ca="1">SUBSTITUTE(IFERROR(INDEX(#REF!,Q47),""),0,"")</f>
        <v/>
      </c>
      <c r="W47" s="113"/>
      <c r="X47" s="133" t="e">
        <f>IF(ROW(E1584)-ROW($E$1548)&lt;ROWS(#REF!),IFERROR(IF(INDEX(list_cofunders[private?],MATCH(Budget!#REF!,list_cofunders[list cofunders],0),1)="yes",Budget!#REF!,""),""),"")</f>
        <v>#REF!</v>
      </c>
      <c r="Y47" s="134" t="e">
        <f>IF(ROW(E1687)-ROW($E$1651)&lt;ROWS(#REF!),IFERROR(IF(INDEX(list_cofunders[private?],MATCH(Budget!#REF!,list_cofunders[list cofunders],0),1)="yes",Budget!#REF!,""),""),"")</f>
        <v>#REF!</v>
      </c>
      <c r="Z47" s="113" t="str">
        <f>IFERROR(INDEX(#REF!,X47),"")</f>
        <v/>
      </c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CZ47" s="22"/>
      <c r="DA47" s="22"/>
      <c r="DB47" s="22"/>
      <c r="DC47" s="22"/>
      <c r="DD47" s="22"/>
      <c r="DE47" s="22"/>
      <c r="DF47" s="22"/>
      <c r="DG47" s="22"/>
      <c r="DH47" s="22"/>
    </row>
    <row r="48" spans="2:112" s="21" customFormat="1" ht="11.25" customHeight="1" outlineLevel="1" x14ac:dyDescent="0.35">
      <c r="B48" s="83" t="e">
        <f ca="1">IF(IFERROR(MATCH("*Other*",OFFSET(Budget!#REF!,B47,0,ROWS(#REF!),1),0)+B47,999)&lt;ROWS(#REF!),IFERROR(MATCH("*Other*",OFFSET(Budget!#REF!,B47,0,ROWS(#REF!),1),0)+B47,999),"")</f>
        <v>#REF!</v>
      </c>
      <c r="C48" s="70" t="str">
        <f ca="1">IFERROR(INDEX(#REF!,B48),"")</f>
        <v/>
      </c>
      <c r="E48" s="83" t="e">
        <f ca="1">IF(MIN(IFERROR(MATCH("*PostDoc*",OFFSET(Budget!#REF!,E47,0,ROWS(#REF!),1),0)+E47,999),IFERROR(MATCH("*PhD*",OFFSET(Budget!#REF!,E47,0,ROWS(#REF!),1),0)+E47,999),IFERROR(MATCH("*PDEng*",OFFSET(Budget!#REF!,E47,0,ROWS(#REF!),1),0)+E47,999))&lt;ROWS(#REF!),MIN(IFERROR(MATCH("*PostDoc*",OFFSET(Budget!#REF!,E47,0,ROWS(#REF!),1),0)+E47,999),IFERROR(MATCH("*PhD*",OFFSET(Budget!#REF!,E47,0,ROWS(#REF!),1),0)+E47,999),IFERROR(MATCH("*PDEng*",OFFSET(Budget!#REF!,E47,0,ROWS(#REF!),1),0)+E47,999)),"")</f>
        <v>#REF!</v>
      </c>
      <c r="F48" s="74" t="str">
        <f ca="1">IFERROR(INDEX(#REF!,E48)*INDEX(#REF!,E48)/12,"")</f>
        <v/>
      </c>
      <c r="G48" s="90"/>
      <c r="H48" s="83" t="e">
        <f ca="1">IF(IFERROR(MATCH("*researcher*",OFFSET(Budget!#REF!,H47,0,ROWS(#REF!),1),0)+H47,999)&lt;ROWS(#REF!),IFERROR(MATCH("*researcher*",OFFSET(Budget!#REF!,H47,0,ROWS(#REF!),1),0)+H47,999),"")</f>
        <v>#REF!</v>
      </c>
      <c r="I48" s="74" t="str">
        <f ca="1">IF(ISERROR(IF(AND(INDEX(#REF!,H48)&gt;=pers_oi_min_months,INDEX(#REF!,H48)/INDEX(#REF!,H48)*12/pers_other_nrhours_year&gt;=pers_oi_minFTE)=TRUE,INDEX(#REF!,H48)/12,0)),"",IF(AND(INDEX(#REF!,H48)&gt;=pers_oi_min_months,INDEX(#REF!,H48)/INDEX(#REF!,H48)*12/pers_other_nrhours_year&gt;=pers_oi_minFTE)=TRUE,INDEX(#REF!,H48)/12,""))</f>
        <v/>
      </c>
      <c r="J48" s="90"/>
      <c r="K48" s="83" t="e">
        <f ca="1">IF(IFERROR(MATCH("*Non-scientific*",OFFSET(Budget!#REF!,K47,0,ROWS(#REF!),1),0)+K47,999)&lt;ROWS(#REF!),IFERROR(MATCH("*Non-scientific*",OFFSET(Budget!#REF!,K47,0,ROWS(#REF!),1),0)+K47,999),"")</f>
        <v>#REF!</v>
      </c>
      <c r="L48" s="70" t="str">
        <f ca="1">IFERROR(INDEX(#REF!,K48),"")</f>
        <v/>
      </c>
      <c r="M48" s="113"/>
      <c r="N48" s="83" t="e">
        <f ca="1">IF(IFERROR(MATCH("*leave*",OFFSET(Budget!#REF!,N47,0,ROWS(#REF!),1),0)+N47,999)&lt;ROWS(#REF!),IFERROR(MATCH("*leave*",OFFSET(Budget!#REF!,N47,0,ROWS(#REF!),1),0)+N47,999),"")</f>
        <v>#REF!</v>
      </c>
      <c r="O48" s="88" t="str">
        <f ca="1">IFERROR(INDEX(#REF!,N48)*INDEX(#REF!,N48),"")</f>
        <v/>
      </c>
      <c r="P48" s="113"/>
      <c r="Q48" s="83" t="e">
        <f ca="1">IF(MIN(IFERROR(MATCH("*PostDoc*",OFFSET(Budget!#REF!,Q47,0,ROWS(#REF!)-Q47,1),0)+Q47,999),IFERROR(MATCH("*PhD*",OFFSET(Budget!#REF!,Q47,0,ROWS(#REF!)-Q47,1),0)+Q47,999),IFERROR(MATCH("*PDEng*",OFFSET(Budget!#REF!,Q47,0,ROWS(#REF!)-Q47,1),0)+Q47,999),IFERROR(MATCH("*Doctorate*",OFFSET(Budget!#REF!,Q47,0,ROWS(#REF!)-Q47,1),0)+Q47,999))&lt;ROWS(#REF!),MIN(IFERROR(MATCH("*PostDoc*",OFFSET(Budget!#REF!,Q47,0,ROWS(#REF!)-Q47,1),0)+Q47,999),IFERROR(MATCH("*PhD*",OFFSET(Budget!#REF!,Q47,0,ROWS(#REF!)-Q47,1),0)+Q47,999),IFERROR(MATCH("*PDEng*",OFFSET(Budget!#REF!,Q47,0,ROWS(#REF!)-Q47,1),0)+Q47,999),IFERROR(MATCH("*Doctorate*",OFFSET(Budget!#REF!,Q47,0,ROWS(#REF!)-Q47,1),0)+Q47,999)),"")</f>
        <v>#REF!</v>
      </c>
      <c r="R48" s="113" t="str">
        <f ca="1">IFERROR(INDEX(#REF!,Q48),"")</f>
        <v/>
      </c>
      <c r="S48" s="113" t="str">
        <f ca="1">IFERROR(INDEX(#REF!,Q48),"")</f>
        <v/>
      </c>
      <c r="T48" s="113" t="str">
        <f ca="1">IFERROR(INDEX(#REF!,Q48),"")</f>
        <v/>
      </c>
      <c r="U48" s="113" t="str">
        <f ca="1">SUBSTITUTE(IFERROR(INDEX(#REF!,Q48),""),0,"")</f>
        <v/>
      </c>
      <c r="V48" s="132" t="str">
        <f ca="1">SUBSTITUTE(IFERROR(INDEX(#REF!,Q48),""),0,"")</f>
        <v/>
      </c>
      <c r="W48" s="113"/>
      <c r="X48" s="133" t="e">
        <f>IF(ROW(E1585)-ROW($E$1548)&lt;ROWS(#REF!),IFERROR(IF(INDEX(list_cofunders[private?],MATCH(Budget!#REF!,list_cofunders[list cofunders],0),1)="yes",Budget!#REF!,""),""),"")</f>
        <v>#REF!</v>
      </c>
      <c r="Y48" s="134" t="e">
        <f>IF(ROW(E1688)-ROW($E$1651)&lt;ROWS(#REF!),IFERROR(IF(INDEX(list_cofunders[private?],MATCH(Budget!#REF!,list_cofunders[list cofunders],0),1)="yes",Budget!#REF!,""),""),"")</f>
        <v>#REF!</v>
      </c>
      <c r="Z48" s="113" t="str">
        <f>IFERROR(INDEX(#REF!,X48),"")</f>
        <v/>
      </c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CZ48" s="22"/>
      <c r="DA48" s="22"/>
      <c r="DB48" s="22"/>
      <c r="DC48" s="22"/>
      <c r="DD48" s="22"/>
      <c r="DE48" s="22"/>
      <c r="DF48" s="22"/>
      <c r="DG48" s="22"/>
      <c r="DH48" s="22"/>
    </row>
    <row r="49" spans="2:112" s="21" customFormat="1" ht="11.25" customHeight="1" outlineLevel="1" x14ac:dyDescent="0.35">
      <c r="B49" s="83" t="e">
        <f ca="1">IF(IFERROR(MATCH("*Other*",OFFSET(Budget!#REF!,B48,0,ROWS(#REF!),1),0)+B48,999)&lt;ROWS(#REF!),IFERROR(MATCH("*Other*",OFFSET(Budget!#REF!,B48,0,ROWS(#REF!),1),0)+B48,999),"")</f>
        <v>#REF!</v>
      </c>
      <c r="C49" s="70" t="str">
        <f ca="1">IFERROR(INDEX(#REF!,B49),"")</f>
        <v/>
      </c>
      <c r="E49" s="83" t="e">
        <f ca="1">IF(MIN(IFERROR(MATCH("*PostDoc*",OFFSET(Budget!#REF!,E48,0,ROWS(#REF!),1),0)+E48,999),IFERROR(MATCH("*PhD*",OFFSET(Budget!#REF!,E48,0,ROWS(#REF!),1),0)+E48,999),IFERROR(MATCH("*PDEng*",OFFSET(Budget!#REF!,E48,0,ROWS(#REF!),1),0)+E48,999))&lt;ROWS(#REF!),MIN(IFERROR(MATCH("*PostDoc*",OFFSET(Budget!#REF!,E48,0,ROWS(#REF!),1),0)+E48,999),IFERROR(MATCH("*PhD*",OFFSET(Budget!#REF!,E48,0,ROWS(#REF!),1),0)+E48,999),IFERROR(MATCH("*PDEng*",OFFSET(Budget!#REF!,E48,0,ROWS(#REF!),1),0)+E48,999)),"")</f>
        <v>#REF!</v>
      </c>
      <c r="F49" s="74" t="str">
        <f ca="1">IFERROR(INDEX(#REF!,E49)*INDEX(#REF!,E49)/12,"")</f>
        <v/>
      </c>
      <c r="G49" s="90"/>
      <c r="H49" s="83" t="e">
        <f ca="1">IF(IFERROR(MATCH("*researcher*",OFFSET(Budget!#REF!,H48,0,ROWS(#REF!),1),0)+H48,999)&lt;ROWS(#REF!),IFERROR(MATCH("*researcher*",OFFSET(Budget!#REF!,H48,0,ROWS(#REF!),1),0)+H48,999),"")</f>
        <v>#REF!</v>
      </c>
      <c r="I49" s="74" t="str">
        <f ca="1">IF(ISERROR(IF(AND(INDEX(#REF!,H49)&gt;=pers_oi_min_months,INDEX(#REF!,H49)/INDEX(#REF!,H49)*12/pers_other_nrhours_year&gt;=pers_oi_minFTE)=TRUE,INDEX(#REF!,H49)/12,0)),"",IF(AND(INDEX(#REF!,H49)&gt;=pers_oi_min_months,INDEX(#REF!,H49)/INDEX(#REF!,H49)*12/pers_other_nrhours_year&gt;=pers_oi_minFTE)=TRUE,INDEX(#REF!,H49)/12,""))</f>
        <v/>
      </c>
      <c r="J49" s="90"/>
      <c r="K49" s="83" t="e">
        <f ca="1">IF(IFERROR(MATCH("*Non-scientific*",OFFSET(Budget!#REF!,K48,0,ROWS(#REF!),1),0)+K48,999)&lt;ROWS(#REF!),IFERROR(MATCH("*Non-scientific*",OFFSET(Budget!#REF!,K48,0,ROWS(#REF!),1),0)+K48,999),"")</f>
        <v>#REF!</v>
      </c>
      <c r="L49" s="70" t="str">
        <f ca="1">IFERROR(INDEX(#REF!,K49),"")</f>
        <v/>
      </c>
      <c r="M49" s="113"/>
      <c r="N49" s="83" t="e">
        <f ca="1">IF(IFERROR(MATCH("*leave*",OFFSET(Budget!#REF!,N48,0,ROWS(#REF!),1),0)+N48,999)&lt;ROWS(#REF!),IFERROR(MATCH("*leave*",OFFSET(Budget!#REF!,N48,0,ROWS(#REF!),1),0)+N48,999),"")</f>
        <v>#REF!</v>
      </c>
      <c r="O49" s="88" t="str">
        <f ca="1">IFERROR(INDEX(#REF!,N49)*INDEX(#REF!,N49),"")</f>
        <v/>
      </c>
      <c r="P49" s="113"/>
      <c r="Q49" s="83" t="e">
        <f ca="1">IF(MIN(IFERROR(MATCH("*PostDoc*",OFFSET(Budget!#REF!,Q48,0,ROWS(#REF!)-Q48,1),0)+Q48,999),IFERROR(MATCH("*PhD*",OFFSET(Budget!#REF!,Q48,0,ROWS(#REF!)-Q48,1),0)+Q48,999),IFERROR(MATCH("*PDEng*",OFFSET(Budget!#REF!,Q48,0,ROWS(#REF!)-Q48,1),0)+Q48,999),IFERROR(MATCH("*Doctorate*",OFFSET(Budget!#REF!,Q48,0,ROWS(#REF!)-Q48,1),0)+Q48,999))&lt;ROWS(#REF!),MIN(IFERROR(MATCH("*PostDoc*",OFFSET(Budget!#REF!,Q48,0,ROWS(#REF!)-Q48,1),0)+Q48,999),IFERROR(MATCH("*PhD*",OFFSET(Budget!#REF!,Q48,0,ROWS(#REF!)-Q48,1),0)+Q48,999),IFERROR(MATCH("*PDEng*",OFFSET(Budget!#REF!,Q48,0,ROWS(#REF!)-Q48,1),0)+Q48,999),IFERROR(MATCH("*Doctorate*",OFFSET(Budget!#REF!,Q48,0,ROWS(#REF!)-Q48,1),0)+Q48,999)),"")</f>
        <v>#REF!</v>
      </c>
      <c r="R49" s="113" t="str">
        <f ca="1">IFERROR(INDEX(#REF!,Q49),"")</f>
        <v/>
      </c>
      <c r="S49" s="113" t="str">
        <f ca="1">IFERROR(INDEX(#REF!,Q49),"")</f>
        <v/>
      </c>
      <c r="T49" s="113" t="str">
        <f ca="1">IFERROR(INDEX(#REF!,Q49),"")</f>
        <v/>
      </c>
      <c r="U49" s="113" t="str">
        <f ca="1">SUBSTITUTE(IFERROR(INDEX(#REF!,Q49),""),0,"")</f>
        <v/>
      </c>
      <c r="V49" s="132" t="str">
        <f ca="1">SUBSTITUTE(IFERROR(INDEX(#REF!,Q49),""),0,"")</f>
        <v/>
      </c>
      <c r="W49" s="113"/>
      <c r="X49" s="133" t="e">
        <f>IF(ROW(E1586)-ROW($E$1548)&lt;ROWS(#REF!),IFERROR(IF(INDEX(list_cofunders[private?],MATCH(Budget!#REF!,list_cofunders[list cofunders],0),1)="yes",Budget!#REF!,""),""),"")</f>
        <v>#REF!</v>
      </c>
      <c r="Y49" s="134" t="e">
        <f>IF(ROW(E1689)-ROW($E$1651)&lt;ROWS(#REF!),IFERROR(IF(INDEX(list_cofunders[private?],MATCH(Budget!#REF!,list_cofunders[list cofunders],0),1)="yes",Budget!#REF!,""),""),"")</f>
        <v>#REF!</v>
      </c>
      <c r="Z49" s="113" t="str">
        <f>IFERROR(INDEX(#REF!,X49),"")</f>
        <v/>
      </c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CZ49" s="22"/>
      <c r="DA49" s="22"/>
      <c r="DB49" s="22"/>
      <c r="DC49" s="22"/>
      <c r="DD49" s="22"/>
      <c r="DE49" s="22"/>
      <c r="DF49" s="22"/>
      <c r="DG49" s="22"/>
      <c r="DH49" s="22"/>
    </row>
    <row r="50" spans="2:112" s="21" customFormat="1" ht="11.25" customHeight="1" outlineLevel="1" x14ac:dyDescent="0.35">
      <c r="B50" s="83" t="e">
        <f ca="1">IF(IFERROR(MATCH("*Other*",OFFSET(Budget!#REF!,B49,0,ROWS(#REF!),1),0)+B49,999)&lt;ROWS(#REF!),IFERROR(MATCH("*Other*",OFFSET(Budget!#REF!,B49,0,ROWS(#REF!),1),0)+B49,999),"")</f>
        <v>#REF!</v>
      </c>
      <c r="C50" s="70" t="str">
        <f ca="1">IFERROR(INDEX(#REF!,B50),"")</f>
        <v/>
      </c>
      <c r="E50" s="83" t="e">
        <f ca="1">IF(MIN(IFERROR(MATCH("*PostDoc*",OFFSET(Budget!#REF!,E49,0,ROWS(#REF!),1),0)+E49,999),IFERROR(MATCH("*PhD*",OFFSET(Budget!#REF!,E49,0,ROWS(#REF!),1),0)+E49,999),IFERROR(MATCH("*PDEng*",OFFSET(Budget!#REF!,E49,0,ROWS(#REF!),1),0)+E49,999))&lt;ROWS(#REF!),MIN(IFERROR(MATCH("*PostDoc*",OFFSET(Budget!#REF!,E49,0,ROWS(#REF!),1),0)+E49,999),IFERROR(MATCH("*PhD*",OFFSET(Budget!#REF!,E49,0,ROWS(#REF!),1),0)+E49,999),IFERROR(MATCH("*PDEng*",OFFSET(Budget!#REF!,E49,0,ROWS(#REF!),1),0)+E49,999)),"")</f>
        <v>#REF!</v>
      </c>
      <c r="F50" s="74" t="str">
        <f ca="1">IFERROR(INDEX(#REF!,E50)*INDEX(#REF!,E50)/12,"")</f>
        <v/>
      </c>
      <c r="G50" s="90"/>
      <c r="H50" s="83" t="e">
        <f ca="1">IF(IFERROR(MATCH("*researcher*",OFFSET(Budget!#REF!,H49,0,ROWS(#REF!),1),0)+H49,999)&lt;ROWS(#REF!),IFERROR(MATCH("*researcher*",OFFSET(Budget!#REF!,H49,0,ROWS(#REF!),1),0)+H49,999),"")</f>
        <v>#REF!</v>
      </c>
      <c r="I50" s="74" t="str">
        <f ca="1">IF(ISERROR(IF(AND(INDEX(#REF!,H50)&gt;=pers_oi_min_months,INDEX(#REF!,H50)/INDEX(#REF!,H50)*12/pers_other_nrhours_year&gt;=pers_oi_minFTE)=TRUE,INDEX(#REF!,H50)/12,0)),"",IF(AND(INDEX(#REF!,H50)&gt;=pers_oi_min_months,INDEX(#REF!,H50)/INDEX(#REF!,H50)*12/pers_other_nrhours_year&gt;=pers_oi_minFTE)=TRUE,INDEX(#REF!,H50)/12,""))</f>
        <v/>
      </c>
      <c r="J50" s="90"/>
      <c r="K50" s="83" t="e">
        <f ca="1">IF(IFERROR(MATCH("*Non-scientific*",OFFSET(Budget!#REF!,K49,0,ROWS(#REF!),1),0)+K49,999)&lt;ROWS(#REF!),IFERROR(MATCH("*Non-scientific*",OFFSET(Budget!#REF!,K49,0,ROWS(#REF!),1),0)+K49,999),"")</f>
        <v>#REF!</v>
      </c>
      <c r="L50" s="70" t="str">
        <f ca="1">IFERROR(INDEX(#REF!,K50),"")</f>
        <v/>
      </c>
      <c r="M50" s="113"/>
      <c r="N50" s="83" t="e">
        <f ca="1">IF(IFERROR(MATCH("*leave*",OFFSET(Budget!#REF!,N49,0,ROWS(#REF!),1),0)+N49,999)&lt;ROWS(#REF!),IFERROR(MATCH("*leave*",OFFSET(Budget!#REF!,N49,0,ROWS(#REF!),1),0)+N49,999),"")</f>
        <v>#REF!</v>
      </c>
      <c r="O50" s="88" t="str">
        <f ca="1">IFERROR(INDEX(#REF!,N50)*INDEX(#REF!,N50),"")</f>
        <v/>
      </c>
      <c r="P50" s="113"/>
      <c r="Q50" s="83" t="e">
        <f ca="1">IF(MIN(IFERROR(MATCH("*PostDoc*",OFFSET(Budget!#REF!,Q49,0,ROWS(#REF!)-Q49,1),0)+Q49,999),IFERROR(MATCH("*PhD*",OFFSET(Budget!#REF!,Q49,0,ROWS(#REF!)-Q49,1),0)+Q49,999),IFERROR(MATCH("*PDEng*",OFFSET(Budget!#REF!,Q49,0,ROWS(#REF!)-Q49,1),0)+Q49,999),IFERROR(MATCH("*Doctorate*",OFFSET(Budget!#REF!,Q49,0,ROWS(#REF!)-Q49,1),0)+Q49,999))&lt;ROWS(#REF!),MIN(IFERROR(MATCH("*PostDoc*",OFFSET(Budget!#REF!,Q49,0,ROWS(#REF!)-Q49,1),0)+Q49,999),IFERROR(MATCH("*PhD*",OFFSET(Budget!#REF!,Q49,0,ROWS(#REF!)-Q49,1),0)+Q49,999),IFERROR(MATCH("*PDEng*",OFFSET(Budget!#REF!,Q49,0,ROWS(#REF!)-Q49,1),0)+Q49,999),IFERROR(MATCH("*Doctorate*",OFFSET(Budget!#REF!,Q49,0,ROWS(#REF!)-Q49,1),0)+Q49,999)),"")</f>
        <v>#REF!</v>
      </c>
      <c r="R50" s="113" t="str">
        <f ca="1">IFERROR(INDEX(#REF!,Q50),"")</f>
        <v/>
      </c>
      <c r="S50" s="113" t="str">
        <f ca="1">IFERROR(INDEX(#REF!,Q50),"")</f>
        <v/>
      </c>
      <c r="T50" s="113" t="str">
        <f ca="1">IFERROR(INDEX(#REF!,Q50),"")</f>
        <v/>
      </c>
      <c r="U50" s="113" t="str">
        <f ca="1">SUBSTITUTE(IFERROR(INDEX(#REF!,Q50),""),0,"")</f>
        <v/>
      </c>
      <c r="V50" s="132" t="str">
        <f ca="1">SUBSTITUTE(IFERROR(INDEX(#REF!,Q50),""),0,"")</f>
        <v/>
      </c>
      <c r="W50" s="113"/>
      <c r="X50" s="133" t="e">
        <f>IF(ROW(E1587)-ROW($E$1548)&lt;ROWS(#REF!),IFERROR(IF(INDEX(list_cofunders[private?],MATCH(Budget!#REF!,list_cofunders[list cofunders],0),1)="yes",Budget!#REF!,""),""),"")</f>
        <v>#REF!</v>
      </c>
      <c r="Y50" s="134" t="e">
        <f>IF(ROW(E1690)-ROW($E$1651)&lt;ROWS(#REF!),IFERROR(IF(INDEX(list_cofunders[private?],MATCH(Budget!#REF!,list_cofunders[list cofunders],0),1)="yes",Budget!#REF!,""),""),"")</f>
        <v>#REF!</v>
      </c>
      <c r="Z50" s="113" t="str">
        <f>IFERROR(INDEX(#REF!,X50),"")</f>
        <v/>
      </c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CZ50" s="22"/>
      <c r="DA50" s="22"/>
      <c r="DB50" s="22"/>
      <c r="DC50" s="22"/>
      <c r="DD50" s="22"/>
      <c r="DE50" s="22"/>
      <c r="DF50" s="22"/>
      <c r="DG50" s="22"/>
      <c r="DH50" s="22"/>
    </row>
    <row r="51" spans="2:112" s="21" customFormat="1" ht="11.25" customHeight="1" outlineLevel="1" x14ac:dyDescent="0.35">
      <c r="B51" s="83" t="e">
        <f ca="1">IF(IFERROR(MATCH("*Other*",OFFSET(Budget!#REF!,B50,0,ROWS(#REF!),1),0)+B50,999)&lt;ROWS(#REF!),IFERROR(MATCH("*Other*",OFFSET(Budget!#REF!,B50,0,ROWS(#REF!),1),0)+B50,999),"")</f>
        <v>#REF!</v>
      </c>
      <c r="C51" s="70" t="str">
        <f ca="1">IFERROR(INDEX(#REF!,B51),"")</f>
        <v/>
      </c>
      <c r="E51" s="83" t="e">
        <f ca="1">IF(MIN(IFERROR(MATCH("*PostDoc*",OFFSET(Budget!#REF!,E50,0,ROWS(#REF!),1),0)+E50,999),IFERROR(MATCH("*PhD*",OFFSET(Budget!#REF!,E50,0,ROWS(#REF!),1),0)+E50,999),IFERROR(MATCH("*PDEng*",OFFSET(Budget!#REF!,E50,0,ROWS(#REF!),1),0)+E50,999))&lt;ROWS(#REF!),MIN(IFERROR(MATCH("*PostDoc*",OFFSET(Budget!#REF!,E50,0,ROWS(#REF!),1),0)+E50,999),IFERROR(MATCH("*PhD*",OFFSET(Budget!#REF!,E50,0,ROWS(#REF!),1),0)+E50,999),IFERROR(MATCH("*PDEng*",OFFSET(Budget!#REF!,E50,0,ROWS(#REF!),1),0)+E50,999)),"")</f>
        <v>#REF!</v>
      </c>
      <c r="F51" s="74" t="str">
        <f ca="1">IFERROR(INDEX(#REF!,E51)*INDEX(#REF!,E51)/12,"")</f>
        <v/>
      </c>
      <c r="G51" s="90"/>
      <c r="H51" s="83" t="e">
        <f ca="1">IF(IFERROR(MATCH("*researcher*",OFFSET(Budget!#REF!,H50,0,ROWS(#REF!),1),0)+H50,999)&lt;ROWS(#REF!),IFERROR(MATCH("*researcher*",OFFSET(Budget!#REF!,H50,0,ROWS(#REF!),1),0)+H50,999),"")</f>
        <v>#REF!</v>
      </c>
      <c r="I51" s="74" t="str">
        <f ca="1">IF(ISERROR(IF(AND(INDEX(#REF!,H51)&gt;=pers_oi_min_months,INDEX(#REF!,H51)/INDEX(#REF!,H51)*12/pers_other_nrhours_year&gt;=pers_oi_minFTE)=TRUE,INDEX(#REF!,H51)/12,0)),"",IF(AND(INDEX(#REF!,H51)&gt;=pers_oi_min_months,INDEX(#REF!,H51)/INDEX(#REF!,H51)*12/pers_other_nrhours_year&gt;=pers_oi_minFTE)=TRUE,INDEX(#REF!,H51)/12,""))</f>
        <v/>
      </c>
      <c r="J51" s="90"/>
      <c r="K51" s="83" t="e">
        <f ca="1">IF(IFERROR(MATCH("*Non-scientific*",OFFSET(Budget!#REF!,K50,0,ROWS(#REF!),1),0)+K50,999)&lt;ROWS(#REF!),IFERROR(MATCH("*Non-scientific*",OFFSET(Budget!#REF!,K50,0,ROWS(#REF!),1),0)+K50,999),"")</f>
        <v>#REF!</v>
      </c>
      <c r="L51" s="70" t="str">
        <f ca="1">IFERROR(INDEX(#REF!,K51),"")</f>
        <v/>
      </c>
      <c r="M51" s="113"/>
      <c r="N51" s="83" t="e">
        <f ca="1">IF(IFERROR(MATCH("*leave*",OFFSET(Budget!#REF!,N50,0,ROWS(#REF!),1),0)+N50,999)&lt;ROWS(#REF!),IFERROR(MATCH("*leave*",OFFSET(Budget!#REF!,N50,0,ROWS(#REF!),1),0)+N50,999),"")</f>
        <v>#REF!</v>
      </c>
      <c r="O51" s="88" t="str">
        <f ca="1">IFERROR(INDEX(#REF!,N51)*INDEX(#REF!,N51),"")</f>
        <v/>
      </c>
      <c r="P51" s="113"/>
      <c r="Q51" s="83" t="e">
        <f ca="1">IF(MIN(IFERROR(MATCH("*PostDoc*",OFFSET(Budget!#REF!,Q50,0,ROWS(#REF!)-Q50,1),0)+Q50,999),IFERROR(MATCH("*PhD*",OFFSET(Budget!#REF!,Q50,0,ROWS(#REF!)-Q50,1),0)+Q50,999),IFERROR(MATCH("*PDEng*",OFFSET(Budget!#REF!,Q50,0,ROWS(#REF!)-Q50,1),0)+Q50,999),IFERROR(MATCH("*Doctorate*",OFFSET(Budget!#REF!,Q50,0,ROWS(#REF!)-Q50,1),0)+Q50,999))&lt;ROWS(#REF!),MIN(IFERROR(MATCH("*PostDoc*",OFFSET(Budget!#REF!,Q50,0,ROWS(#REF!)-Q50,1),0)+Q50,999),IFERROR(MATCH("*PhD*",OFFSET(Budget!#REF!,Q50,0,ROWS(#REF!)-Q50,1),0)+Q50,999),IFERROR(MATCH("*PDEng*",OFFSET(Budget!#REF!,Q50,0,ROWS(#REF!)-Q50,1),0)+Q50,999),IFERROR(MATCH("*Doctorate*",OFFSET(Budget!#REF!,Q50,0,ROWS(#REF!)-Q50,1),0)+Q50,999)),"")</f>
        <v>#REF!</v>
      </c>
      <c r="R51" s="113" t="str">
        <f ca="1">IFERROR(INDEX(#REF!,Q51),"")</f>
        <v/>
      </c>
      <c r="S51" s="113" t="str">
        <f ca="1">IFERROR(INDEX(#REF!,Q51),"")</f>
        <v/>
      </c>
      <c r="T51" s="113" t="str">
        <f ca="1">IFERROR(INDEX(#REF!,Q51),"")</f>
        <v/>
      </c>
      <c r="U51" s="113" t="str">
        <f ca="1">SUBSTITUTE(IFERROR(INDEX(#REF!,Q51),""),0,"")</f>
        <v/>
      </c>
      <c r="V51" s="132" t="str">
        <f ca="1">SUBSTITUTE(IFERROR(INDEX(#REF!,Q51),""),0,"")</f>
        <v/>
      </c>
      <c r="W51" s="113"/>
      <c r="X51" s="133" t="e">
        <f>IF(ROW(E1588)-ROW($E$1548)&lt;ROWS(#REF!),IFERROR(IF(INDEX(list_cofunders[private?],MATCH(Budget!#REF!,list_cofunders[list cofunders],0),1)="yes",Budget!#REF!,""),""),"")</f>
        <v>#REF!</v>
      </c>
      <c r="Y51" s="134" t="e">
        <f>IF(ROW(E1691)-ROW($E$1651)&lt;ROWS(#REF!),IFERROR(IF(INDEX(list_cofunders[private?],MATCH(Budget!#REF!,list_cofunders[list cofunders],0),1)="yes",Budget!#REF!,""),""),"")</f>
        <v>#REF!</v>
      </c>
      <c r="Z51" s="113" t="str">
        <f>IFERROR(INDEX(#REF!,X51),"")</f>
        <v/>
      </c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CZ51" s="22"/>
      <c r="DA51" s="22"/>
      <c r="DB51" s="22"/>
      <c r="DC51" s="22"/>
      <c r="DD51" s="22"/>
      <c r="DE51" s="22"/>
      <c r="DF51" s="22"/>
      <c r="DG51" s="22"/>
      <c r="DH51" s="22"/>
    </row>
    <row r="52" spans="2:112" s="21" customFormat="1" ht="11.25" customHeight="1" outlineLevel="1" x14ac:dyDescent="0.35">
      <c r="B52" s="83" t="e">
        <f ca="1">IF(IFERROR(MATCH("*Other*",OFFSET(Budget!#REF!,B51,0,ROWS(#REF!),1),0)+B51,999)&lt;ROWS(#REF!),IFERROR(MATCH("*Other*",OFFSET(Budget!#REF!,B51,0,ROWS(#REF!),1),0)+B51,999),"")</f>
        <v>#REF!</v>
      </c>
      <c r="C52" s="70" t="str">
        <f ca="1">IFERROR(INDEX(#REF!,B52),"")</f>
        <v/>
      </c>
      <c r="E52" s="83" t="e">
        <f ca="1">IF(MIN(IFERROR(MATCH("*PostDoc*",OFFSET(Budget!#REF!,E51,0,ROWS(#REF!),1),0)+E51,999),IFERROR(MATCH("*PhD*",OFFSET(Budget!#REF!,E51,0,ROWS(#REF!),1),0)+E51,999),IFERROR(MATCH("*PDEng*",OFFSET(Budget!#REF!,E51,0,ROWS(#REF!),1),0)+E51,999))&lt;ROWS(#REF!),MIN(IFERROR(MATCH("*PostDoc*",OFFSET(Budget!#REF!,E51,0,ROWS(#REF!),1),0)+E51,999),IFERROR(MATCH("*PhD*",OFFSET(Budget!#REF!,E51,0,ROWS(#REF!),1),0)+E51,999),IFERROR(MATCH("*PDEng*",OFFSET(Budget!#REF!,E51,0,ROWS(#REF!),1),0)+E51,999)),"")</f>
        <v>#REF!</v>
      </c>
      <c r="F52" s="74" t="str">
        <f ca="1">IFERROR(INDEX(#REF!,E52)*INDEX(#REF!,E52)/12,"")</f>
        <v/>
      </c>
      <c r="G52" s="90"/>
      <c r="H52" s="83" t="e">
        <f ca="1">IF(IFERROR(MATCH("*researcher*",OFFSET(Budget!#REF!,H51,0,ROWS(#REF!),1),0)+H51,999)&lt;ROWS(#REF!),IFERROR(MATCH("*researcher*",OFFSET(Budget!#REF!,H51,0,ROWS(#REF!),1),0)+H51,999),"")</f>
        <v>#REF!</v>
      </c>
      <c r="I52" s="74" t="str">
        <f ca="1">IF(ISERROR(IF(AND(INDEX(#REF!,H52)&gt;=pers_oi_min_months,INDEX(#REF!,H52)/INDEX(#REF!,H52)*12/pers_other_nrhours_year&gt;=pers_oi_minFTE)=TRUE,INDEX(#REF!,H52)/12,0)),"",IF(AND(INDEX(#REF!,H52)&gt;=pers_oi_min_months,INDEX(#REF!,H52)/INDEX(#REF!,H52)*12/pers_other_nrhours_year&gt;=pers_oi_minFTE)=TRUE,INDEX(#REF!,H52)/12,""))</f>
        <v/>
      </c>
      <c r="J52" s="90"/>
      <c r="K52" s="83" t="e">
        <f ca="1">IF(IFERROR(MATCH("*Non-scientific*",OFFSET(Budget!#REF!,K51,0,ROWS(#REF!),1),0)+K51,999)&lt;ROWS(#REF!),IFERROR(MATCH("*Non-scientific*",OFFSET(Budget!#REF!,K51,0,ROWS(#REF!),1),0)+K51,999),"")</f>
        <v>#REF!</v>
      </c>
      <c r="L52" s="70" t="str">
        <f ca="1">IFERROR(INDEX(#REF!,K52),"")</f>
        <v/>
      </c>
      <c r="M52" s="113"/>
      <c r="N52" s="83" t="e">
        <f ca="1">IF(IFERROR(MATCH("*leave*",OFFSET(Budget!#REF!,N51,0,ROWS(#REF!),1),0)+N51,999)&lt;ROWS(#REF!),IFERROR(MATCH("*leave*",OFFSET(Budget!#REF!,N51,0,ROWS(#REF!),1),0)+N51,999),"")</f>
        <v>#REF!</v>
      </c>
      <c r="O52" s="88" t="str">
        <f ca="1">IFERROR(INDEX(#REF!,N52)*INDEX(#REF!,N52),"")</f>
        <v/>
      </c>
      <c r="P52" s="113"/>
      <c r="Q52" s="83" t="e">
        <f ca="1">IF(MIN(IFERROR(MATCH("*PostDoc*",OFFSET(Budget!#REF!,Q51,0,ROWS(#REF!)-Q51,1),0)+Q51,999),IFERROR(MATCH("*PhD*",OFFSET(Budget!#REF!,Q51,0,ROWS(#REF!)-Q51,1),0)+Q51,999),IFERROR(MATCH("*PDEng*",OFFSET(Budget!#REF!,Q51,0,ROWS(#REF!)-Q51,1),0)+Q51,999),IFERROR(MATCH("*Doctorate*",OFFSET(Budget!#REF!,Q51,0,ROWS(#REF!)-Q51,1),0)+Q51,999))&lt;ROWS(#REF!),MIN(IFERROR(MATCH("*PostDoc*",OFFSET(Budget!#REF!,Q51,0,ROWS(#REF!)-Q51,1),0)+Q51,999),IFERROR(MATCH("*PhD*",OFFSET(Budget!#REF!,Q51,0,ROWS(#REF!)-Q51,1),0)+Q51,999),IFERROR(MATCH("*PDEng*",OFFSET(Budget!#REF!,Q51,0,ROWS(#REF!)-Q51,1),0)+Q51,999),IFERROR(MATCH("*Doctorate*",OFFSET(Budget!#REF!,Q51,0,ROWS(#REF!)-Q51,1),0)+Q51,999)),"")</f>
        <v>#REF!</v>
      </c>
      <c r="R52" s="113" t="str">
        <f ca="1">IFERROR(INDEX(#REF!,Q52),"")</f>
        <v/>
      </c>
      <c r="S52" s="113" t="str">
        <f ca="1">IFERROR(INDEX(#REF!,Q52),"")</f>
        <v/>
      </c>
      <c r="T52" s="113" t="str">
        <f ca="1">IFERROR(INDEX(#REF!,Q52),"")</f>
        <v/>
      </c>
      <c r="U52" s="113" t="str">
        <f ca="1">SUBSTITUTE(IFERROR(INDEX(#REF!,Q52),""),0,"")</f>
        <v/>
      </c>
      <c r="V52" s="132" t="str">
        <f ca="1">SUBSTITUTE(IFERROR(INDEX(#REF!,Q52),""),0,"")</f>
        <v/>
      </c>
      <c r="W52" s="113"/>
      <c r="X52" s="133" t="e">
        <f>IF(ROW(E1589)-ROW($E$1548)&lt;ROWS(#REF!),IFERROR(IF(INDEX(list_cofunders[private?],MATCH(Budget!#REF!,list_cofunders[list cofunders],0),1)="yes",Budget!#REF!,""),""),"")</f>
        <v>#REF!</v>
      </c>
      <c r="Y52" s="134" t="e">
        <f>IF(ROW(E1692)-ROW($E$1651)&lt;ROWS(#REF!),IFERROR(IF(INDEX(list_cofunders[private?],MATCH(Budget!#REF!,list_cofunders[list cofunders],0),1)="yes",Budget!#REF!,""),""),"")</f>
        <v>#REF!</v>
      </c>
      <c r="Z52" s="113" t="str">
        <f>IFERROR(INDEX(#REF!,X52),"")</f>
        <v/>
      </c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CZ52" s="22"/>
      <c r="DA52" s="22"/>
      <c r="DB52" s="22"/>
      <c r="DC52" s="22"/>
      <c r="DD52" s="22"/>
      <c r="DE52" s="22"/>
      <c r="DF52" s="22"/>
      <c r="DG52" s="22"/>
      <c r="DH52" s="22"/>
    </row>
    <row r="53" spans="2:112" s="21" customFormat="1" ht="11.25" customHeight="1" outlineLevel="1" x14ac:dyDescent="0.35">
      <c r="B53" s="83" t="e">
        <f ca="1">IF(IFERROR(MATCH("*Other*",OFFSET(Budget!#REF!,B52,0,ROWS(#REF!),1),0)+B52,999)&lt;ROWS(#REF!),IFERROR(MATCH("*Other*",OFFSET(Budget!#REF!,B52,0,ROWS(#REF!),1),0)+B52,999),"")</f>
        <v>#REF!</v>
      </c>
      <c r="C53" s="70" t="str">
        <f ca="1">IFERROR(INDEX(#REF!,B53),"")</f>
        <v/>
      </c>
      <c r="E53" s="83" t="e">
        <f ca="1">IF(MIN(IFERROR(MATCH("*PostDoc*",OFFSET(Budget!#REF!,E52,0,ROWS(#REF!),1),0)+E52,999),IFERROR(MATCH("*PhD*",OFFSET(Budget!#REF!,E52,0,ROWS(#REF!),1),0)+E52,999),IFERROR(MATCH("*PDEng*",OFFSET(Budget!#REF!,E52,0,ROWS(#REF!),1),0)+E52,999))&lt;ROWS(#REF!),MIN(IFERROR(MATCH("*PostDoc*",OFFSET(Budget!#REF!,E52,0,ROWS(#REF!),1),0)+E52,999),IFERROR(MATCH("*PhD*",OFFSET(Budget!#REF!,E52,0,ROWS(#REF!),1),0)+E52,999),IFERROR(MATCH("*PDEng*",OFFSET(Budget!#REF!,E52,0,ROWS(#REF!),1),0)+E52,999)),"")</f>
        <v>#REF!</v>
      </c>
      <c r="F53" s="74" t="str">
        <f ca="1">IFERROR(INDEX(#REF!,E53)*INDEX(#REF!,E53)/12,"")</f>
        <v/>
      </c>
      <c r="G53" s="90"/>
      <c r="H53" s="83" t="e">
        <f ca="1">IF(IFERROR(MATCH("*researcher*",OFFSET(Budget!#REF!,H52,0,ROWS(#REF!),1),0)+H52,999)&lt;ROWS(#REF!),IFERROR(MATCH("*researcher*",OFFSET(Budget!#REF!,H52,0,ROWS(#REF!),1),0)+H52,999),"")</f>
        <v>#REF!</v>
      </c>
      <c r="I53" s="74" t="str">
        <f ca="1">IF(ISERROR(IF(AND(INDEX(#REF!,H53)&gt;=pers_oi_min_months,INDEX(#REF!,H53)/INDEX(#REF!,H53)*12/pers_other_nrhours_year&gt;=pers_oi_minFTE)=TRUE,INDEX(#REF!,H53)/12,0)),"",IF(AND(INDEX(#REF!,H53)&gt;=pers_oi_min_months,INDEX(#REF!,H53)/INDEX(#REF!,H53)*12/pers_other_nrhours_year&gt;=pers_oi_minFTE)=TRUE,INDEX(#REF!,H53)/12,""))</f>
        <v/>
      </c>
      <c r="J53" s="90"/>
      <c r="K53" s="83" t="e">
        <f ca="1">IF(IFERROR(MATCH("*Non-scientific*",OFFSET(Budget!#REF!,K52,0,ROWS(#REF!),1),0)+K52,999)&lt;ROWS(#REF!),IFERROR(MATCH("*Non-scientific*",OFFSET(Budget!#REF!,K52,0,ROWS(#REF!),1),0)+K52,999),"")</f>
        <v>#REF!</v>
      </c>
      <c r="L53" s="70" t="str">
        <f ca="1">IFERROR(INDEX(#REF!,K53),"")</f>
        <v/>
      </c>
      <c r="M53" s="113"/>
      <c r="N53" s="83" t="e">
        <f ca="1">IF(IFERROR(MATCH("*leave*",OFFSET(Budget!#REF!,N52,0,ROWS(#REF!),1),0)+N52,999)&lt;ROWS(#REF!),IFERROR(MATCH("*leave*",OFFSET(Budget!#REF!,N52,0,ROWS(#REF!),1),0)+N52,999),"")</f>
        <v>#REF!</v>
      </c>
      <c r="O53" s="88" t="str">
        <f ca="1">IFERROR(INDEX(#REF!,N53)*INDEX(#REF!,N53),"")</f>
        <v/>
      </c>
      <c r="P53" s="113"/>
      <c r="Q53" s="83" t="e">
        <f ca="1">IF(MIN(IFERROR(MATCH("*PostDoc*",OFFSET(Budget!#REF!,Q52,0,ROWS(#REF!)-Q52,1),0)+Q52,999),IFERROR(MATCH("*PhD*",OFFSET(Budget!#REF!,Q52,0,ROWS(#REF!)-Q52,1),0)+Q52,999),IFERROR(MATCH("*PDEng*",OFFSET(Budget!#REF!,Q52,0,ROWS(#REF!)-Q52,1),0)+Q52,999),IFERROR(MATCH("*Doctorate*",OFFSET(Budget!#REF!,Q52,0,ROWS(#REF!)-Q52,1),0)+Q52,999))&lt;ROWS(#REF!),MIN(IFERROR(MATCH("*PostDoc*",OFFSET(Budget!#REF!,Q52,0,ROWS(#REF!)-Q52,1),0)+Q52,999),IFERROR(MATCH("*PhD*",OFFSET(Budget!#REF!,Q52,0,ROWS(#REF!)-Q52,1),0)+Q52,999),IFERROR(MATCH("*PDEng*",OFFSET(Budget!#REF!,Q52,0,ROWS(#REF!)-Q52,1),0)+Q52,999),IFERROR(MATCH("*Doctorate*",OFFSET(Budget!#REF!,Q52,0,ROWS(#REF!)-Q52,1),0)+Q52,999)),"")</f>
        <v>#REF!</v>
      </c>
      <c r="R53" s="113" t="str">
        <f ca="1">IFERROR(INDEX(#REF!,Q53),"")</f>
        <v/>
      </c>
      <c r="S53" s="113" t="str">
        <f ca="1">IFERROR(INDEX(#REF!,Q53),"")</f>
        <v/>
      </c>
      <c r="T53" s="113" t="str">
        <f ca="1">IFERROR(INDEX(#REF!,Q53),"")</f>
        <v/>
      </c>
      <c r="U53" s="113" t="str">
        <f ca="1">SUBSTITUTE(IFERROR(INDEX(#REF!,Q53),""),0,"")</f>
        <v/>
      </c>
      <c r="V53" s="132" t="str">
        <f ca="1">SUBSTITUTE(IFERROR(INDEX(#REF!,Q53),""),0,"")</f>
        <v/>
      </c>
      <c r="W53" s="113"/>
      <c r="X53" s="133" t="e">
        <f>IF(ROW(E1590)-ROW($E$1548)&lt;ROWS(#REF!),IFERROR(IF(INDEX(list_cofunders[private?],MATCH(Budget!#REF!,list_cofunders[list cofunders],0),1)="yes",Budget!#REF!,""),""),"")</f>
        <v>#REF!</v>
      </c>
      <c r="Y53" s="134" t="e">
        <f>IF(ROW(E1693)-ROW($E$1651)&lt;ROWS(#REF!),IFERROR(IF(INDEX(list_cofunders[private?],MATCH(Budget!#REF!,list_cofunders[list cofunders],0),1)="yes",Budget!#REF!,""),""),"")</f>
        <v>#REF!</v>
      </c>
      <c r="Z53" s="113" t="str">
        <f>IFERROR(INDEX(#REF!,X53),"")</f>
        <v/>
      </c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CZ53" s="22"/>
      <c r="DA53" s="22"/>
      <c r="DB53" s="22"/>
      <c r="DC53" s="22"/>
      <c r="DD53" s="22"/>
      <c r="DE53" s="22"/>
      <c r="DF53" s="22"/>
      <c r="DG53" s="22"/>
      <c r="DH53" s="22"/>
    </row>
    <row r="54" spans="2:112" s="21" customFormat="1" ht="11.25" customHeight="1" outlineLevel="1" x14ac:dyDescent="0.35">
      <c r="B54" s="83" t="e">
        <f ca="1">IF(IFERROR(MATCH("*Other*",OFFSET(Budget!#REF!,B53,0,ROWS(#REF!),1),0)+B53,999)&lt;ROWS(#REF!),IFERROR(MATCH("*Other*",OFFSET(Budget!#REF!,B53,0,ROWS(#REF!),1),0)+B53,999),"")</f>
        <v>#REF!</v>
      </c>
      <c r="C54" s="70" t="str">
        <f ca="1">IFERROR(INDEX(#REF!,B54),"")</f>
        <v/>
      </c>
      <c r="E54" s="83" t="e">
        <f ca="1">IF(MIN(IFERROR(MATCH("*PostDoc*",OFFSET(Budget!#REF!,E53,0,ROWS(#REF!),1),0)+E53,999),IFERROR(MATCH("*PhD*",OFFSET(Budget!#REF!,E53,0,ROWS(#REF!),1),0)+E53,999),IFERROR(MATCH("*PDEng*",OFFSET(Budget!#REF!,E53,0,ROWS(#REF!),1),0)+E53,999))&lt;ROWS(#REF!),MIN(IFERROR(MATCH("*PostDoc*",OFFSET(Budget!#REF!,E53,0,ROWS(#REF!),1),0)+E53,999),IFERROR(MATCH("*PhD*",OFFSET(Budget!#REF!,E53,0,ROWS(#REF!),1),0)+E53,999),IFERROR(MATCH("*PDEng*",OFFSET(Budget!#REF!,E53,0,ROWS(#REF!),1),0)+E53,999)),"")</f>
        <v>#REF!</v>
      </c>
      <c r="F54" s="74" t="str">
        <f ca="1">IFERROR(INDEX(#REF!,E54)*INDEX(#REF!,E54)/12,"")</f>
        <v/>
      </c>
      <c r="G54" s="90"/>
      <c r="H54" s="83" t="e">
        <f ca="1">IF(IFERROR(MATCH("*researcher*",OFFSET(Budget!#REF!,H53,0,ROWS(#REF!),1),0)+H53,999)&lt;ROWS(#REF!),IFERROR(MATCH("*researcher*",OFFSET(Budget!#REF!,H53,0,ROWS(#REF!),1),0)+H53,999),"")</f>
        <v>#REF!</v>
      </c>
      <c r="I54" s="74" t="str">
        <f ca="1">IF(ISERROR(IF(AND(INDEX(#REF!,H54)&gt;=pers_oi_min_months,INDEX(#REF!,H54)/INDEX(#REF!,H54)*12/pers_other_nrhours_year&gt;=pers_oi_minFTE)=TRUE,INDEX(#REF!,H54)/12,0)),"",IF(AND(INDEX(#REF!,H54)&gt;=pers_oi_min_months,INDEX(#REF!,H54)/INDEX(#REF!,H54)*12/pers_other_nrhours_year&gt;=pers_oi_minFTE)=TRUE,INDEX(#REF!,H54)/12,""))</f>
        <v/>
      </c>
      <c r="J54" s="90"/>
      <c r="K54" s="83" t="e">
        <f ca="1">IF(IFERROR(MATCH("*Non-scientific*",OFFSET(Budget!#REF!,K53,0,ROWS(#REF!),1),0)+K53,999)&lt;ROWS(#REF!),IFERROR(MATCH("*Non-scientific*",OFFSET(Budget!#REF!,K53,0,ROWS(#REF!),1),0)+K53,999),"")</f>
        <v>#REF!</v>
      </c>
      <c r="L54" s="70" t="str">
        <f ca="1">IFERROR(INDEX(#REF!,K54),"")</f>
        <v/>
      </c>
      <c r="M54" s="113"/>
      <c r="N54" s="83" t="e">
        <f ca="1">IF(IFERROR(MATCH("*leave*",OFFSET(Budget!#REF!,N53,0,ROWS(#REF!),1),0)+N53,999)&lt;ROWS(#REF!),IFERROR(MATCH("*leave*",OFFSET(Budget!#REF!,N53,0,ROWS(#REF!),1),0)+N53,999),"")</f>
        <v>#REF!</v>
      </c>
      <c r="O54" s="88" t="str">
        <f ca="1">IFERROR(INDEX(#REF!,N54)*INDEX(#REF!,N54),"")</f>
        <v/>
      </c>
      <c r="P54" s="113"/>
      <c r="Q54" s="83" t="e">
        <f ca="1">IF(MIN(IFERROR(MATCH("*PostDoc*",OFFSET(Budget!#REF!,Q53,0,ROWS(#REF!)-Q53,1),0)+Q53,999),IFERROR(MATCH("*PhD*",OFFSET(Budget!#REF!,Q53,0,ROWS(#REF!)-Q53,1),0)+Q53,999),IFERROR(MATCH("*PDEng*",OFFSET(Budget!#REF!,Q53,0,ROWS(#REF!)-Q53,1),0)+Q53,999),IFERROR(MATCH("*Doctorate*",OFFSET(Budget!#REF!,Q53,0,ROWS(#REF!)-Q53,1),0)+Q53,999))&lt;ROWS(#REF!),MIN(IFERROR(MATCH("*PostDoc*",OFFSET(Budget!#REF!,Q53,0,ROWS(#REF!)-Q53,1),0)+Q53,999),IFERROR(MATCH("*PhD*",OFFSET(Budget!#REF!,Q53,0,ROWS(#REF!)-Q53,1),0)+Q53,999),IFERROR(MATCH("*PDEng*",OFFSET(Budget!#REF!,Q53,0,ROWS(#REF!)-Q53,1),0)+Q53,999),IFERROR(MATCH("*Doctorate*",OFFSET(Budget!#REF!,Q53,0,ROWS(#REF!)-Q53,1),0)+Q53,999)),"")</f>
        <v>#REF!</v>
      </c>
      <c r="R54" s="113" t="str">
        <f ca="1">IFERROR(INDEX(#REF!,Q54),"")</f>
        <v/>
      </c>
      <c r="S54" s="113" t="str">
        <f ca="1">IFERROR(INDEX(#REF!,Q54),"")</f>
        <v/>
      </c>
      <c r="T54" s="113" t="str">
        <f ca="1">IFERROR(INDEX(#REF!,Q54),"")</f>
        <v/>
      </c>
      <c r="U54" s="113" t="str">
        <f ca="1">SUBSTITUTE(IFERROR(INDEX(#REF!,Q54),""),0,"")</f>
        <v/>
      </c>
      <c r="V54" s="132" t="str">
        <f ca="1">SUBSTITUTE(IFERROR(INDEX(#REF!,Q54),""),0,"")</f>
        <v/>
      </c>
      <c r="W54" s="113"/>
      <c r="X54" s="133" t="e">
        <f>IF(ROW(E1591)-ROW($E$1548)&lt;ROWS(#REF!),IFERROR(IF(INDEX(list_cofunders[private?],MATCH(Budget!#REF!,list_cofunders[list cofunders],0),1)="yes",Budget!#REF!,""),""),"")</f>
        <v>#REF!</v>
      </c>
      <c r="Y54" s="134" t="e">
        <f>IF(ROW(E1694)-ROW($E$1651)&lt;ROWS(#REF!),IFERROR(IF(INDEX(list_cofunders[private?],MATCH(Budget!#REF!,list_cofunders[list cofunders],0),1)="yes",Budget!#REF!,""),""),"")</f>
        <v>#REF!</v>
      </c>
      <c r="Z54" s="113" t="str">
        <f>IFERROR(INDEX(#REF!,X54),"")</f>
        <v/>
      </c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CZ54" s="22"/>
      <c r="DA54" s="22"/>
      <c r="DB54" s="22"/>
      <c r="DC54" s="22"/>
      <c r="DD54" s="22"/>
      <c r="DE54" s="22"/>
      <c r="DF54" s="22"/>
      <c r="DG54" s="22"/>
      <c r="DH54" s="22"/>
    </row>
    <row r="55" spans="2:112" s="21" customFormat="1" ht="11.25" customHeight="1" outlineLevel="1" x14ac:dyDescent="0.35">
      <c r="B55" s="83" t="e">
        <f ca="1">IF(IFERROR(MATCH("*Other*",OFFSET(Budget!#REF!,B54,0,ROWS(#REF!),1),0)+B54,999)&lt;ROWS(#REF!),IFERROR(MATCH("*Other*",OFFSET(Budget!#REF!,B54,0,ROWS(#REF!),1),0)+B54,999),"")</f>
        <v>#REF!</v>
      </c>
      <c r="C55" s="70" t="str">
        <f ca="1">IFERROR(INDEX(#REF!,B55),"")</f>
        <v/>
      </c>
      <c r="E55" s="83" t="e">
        <f ca="1">IF(MIN(IFERROR(MATCH("*PostDoc*",OFFSET(Budget!#REF!,E54,0,ROWS(#REF!),1),0)+E54,999),IFERROR(MATCH("*PhD*",OFFSET(Budget!#REF!,E54,0,ROWS(#REF!),1),0)+E54,999),IFERROR(MATCH("*PDEng*",OFFSET(Budget!#REF!,E54,0,ROWS(#REF!),1),0)+E54,999))&lt;ROWS(#REF!),MIN(IFERROR(MATCH("*PostDoc*",OFFSET(Budget!#REF!,E54,0,ROWS(#REF!),1),0)+E54,999),IFERROR(MATCH("*PhD*",OFFSET(Budget!#REF!,E54,0,ROWS(#REF!),1),0)+E54,999),IFERROR(MATCH("*PDEng*",OFFSET(Budget!#REF!,E54,0,ROWS(#REF!),1),0)+E54,999)),"")</f>
        <v>#REF!</v>
      </c>
      <c r="F55" s="74" t="str">
        <f ca="1">IFERROR(INDEX(#REF!,E55)*INDEX(#REF!,E55)/12,"")</f>
        <v/>
      </c>
      <c r="G55" s="90"/>
      <c r="H55" s="83" t="e">
        <f ca="1">IF(IFERROR(MATCH("*researcher*",OFFSET(Budget!#REF!,H54,0,ROWS(#REF!),1),0)+H54,999)&lt;ROWS(#REF!),IFERROR(MATCH("*researcher*",OFFSET(Budget!#REF!,H54,0,ROWS(#REF!),1),0)+H54,999),"")</f>
        <v>#REF!</v>
      </c>
      <c r="I55" s="74" t="str">
        <f ca="1">IF(ISERROR(IF(AND(INDEX(#REF!,H55)&gt;=pers_oi_min_months,INDEX(#REF!,H55)/INDEX(#REF!,H55)*12/pers_other_nrhours_year&gt;=pers_oi_minFTE)=TRUE,INDEX(#REF!,H55)/12,0)),"",IF(AND(INDEX(#REF!,H55)&gt;=pers_oi_min_months,INDEX(#REF!,H55)/INDEX(#REF!,H55)*12/pers_other_nrhours_year&gt;=pers_oi_minFTE)=TRUE,INDEX(#REF!,H55)/12,""))</f>
        <v/>
      </c>
      <c r="J55" s="90"/>
      <c r="K55" s="83" t="e">
        <f ca="1">IF(IFERROR(MATCH("*Non-scientific*",OFFSET(Budget!#REF!,K54,0,ROWS(#REF!),1),0)+K54,999)&lt;ROWS(#REF!),IFERROR(MATCH("*Non-scientific*",OFFSET(Budget!#REF!,K54,0,ROWS(#REF!),1),0)+K54,999),"")</f>
        <v>#REF!</v>
      </c>
      <c r="L55" s="70" t="str">
        <f ca="1">IFERROR(INDEX(#REF!,K55),"")</f>
        <v/>
      </c>
      <c r="M55" s="113"/>
      <c r="N55" s="83" t="e">
        <f ca="1">IF(IFERROR(MATCH("*leave*",OFFSET(Budget!#REF!,N54,0,ROWS(#REF!),1),0)+N54,999)&lt;ROWS(#REF!),IFERROR(MATCH("*leave*",OFFSET(Budget!#REF!,N54,0,ROWS(#REF!),1),0)+N54,999),"")</f>
        <v>#REF!</v>
      </c>
      <c r="O55" s="88" t="str">
        <f ca="1">IFERROR(INDEX(#REF!,N55)*INDEX(#REF!,N55),"")</f>
        <v/>
      </c>
      <c r="P55" s="113"/>
      <c r="Q55" s="83" t="e">
        <f ca="1">IF(MIN(IFERROR(MATCH("*PostDoc*",OFFSET(Budget!#REF!,Q54,0,ROWS(#REF!)-Q54,1),0)+Q54,999),IFERROR(MATCH("*PhD*",OFFSET(Budget!#REF!,Q54,0,ROWS(#REF!)-Q54,1),0)+Q54,999),IFERROR(MATCH("*PDEng*",OFFSET(Budget!#REF!,Q54,0,ROWS(#REF!)-Q54,1),0)+Q54,999),IFERROR(MATCH("*Doctorate*",OFFSET(Budget!#REF!,Q54,0,ROWS(#REF!)-Q54,1),0)+Q54,999))&lt;ROWS(#REF!),MIN(IFERROR(MATCH("*PostDoc*",OFFSET(Budget!#REF!,Q54,0,ROWS(#REF!)-Q54,1),0)+Q54,999),IFERROR(MATCH("*PhD*",OFFSET(Budget!#REF!,Q54,0,ROWS(#REF!)-Q54,1),0)+Q54,999),IFERROR(MATCH("*PDEng*",OFFSET(Budget!#REF!,Q54,0,ROWS(#REF!)-Q54,1),0)+Q54,999),IFERROR(MATCH("*Doctorate*",OFFSET(Budget!#REF!,Q54,0,ROWS(#REF!)-Q54,1),0)+Q54,999)),"")</f>
        <v>#REF!</v>
      </c>
      <c r="R55" s="113" t="str">
        <f ca="1">IFERROR(INDEX(#REF!,Q55),"")</f>
        <v/>
      </c>
      <c r="S55" s="113" t="str">
        <f ca="1">IFERROR(INDEX(#REF!,Q55),"")</f>
        <v/>
      </c>
      <c r="T55" s="113" t="str">
        <f ca="1">IFERROR(INDEX(#REF!,Q55),"")</f>
        <v/>
      </c>
      <c r="U55" s="113" t="str">
        <f ca="1">SUBSTITUTE(IFERROR(INDEX(#REF!,Q55),""),0,"")</f>
        <v/>
      </c>
      <c r="V55" s="132" t="str">
        <f ca="1">SUBSTITUTE(IFERROR(INDEX(#REF!,Q55),""),0,"")</f>
        <v/>
      </c>
      <c r="W55" s="113"/>
      <c r="X55" s="133" t="e">
        <f>IF(ROW(E1592)-ROW($E$1548)&lt;ROWS(#REF!),IFERROR(IF(INDEX(list_cofunders[private?],MATCH(Budget!#REF!,list_cofunders[list cofunders],0),1)="yes",Budget!#REF!,""),""),"")</f>
        <v>#REF!</v>
      </c>
      <c r="Y55" s="134" t="e">
        <f>IF(ROW(E1695)-ROW($E$1651)&lt;ROWS(#REF!),IFERROR(IF(INDEX(list_cofunders[private?],MATCH(Budget!#REF!,list_cofunders[list cofunders],0),1)="yes",Budget!#REF!,""),""),"")</f>
        <v>#REF!</v>
      </c>
      <c r="Z55" s="113" t="str">
        <f>IFERROR(INDEX(#REF!,X55),"")</f>
        <v/>
      </c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CZ55" s="22"/>
      <c r="DA55" s="22"/>
      <c r="DB55" s="22"/>
      <c r="DC55" s="22"/>
      <c r="DD55" s="22"/>
      <c r="DE55" s="22"/>
      <c r="DF55" s="22"/>
      <c r="DG55" s="22"/>
      <c r="DH55" s="22"/>
    </row>
    <row r="56" spans="2:112" s="21" customFormat="1" ht="11.25" customHeight="1" outlineLevel="1" x14ac:dyDescent="0.35">
      <c r="B56" s="83" t="e">
        <f ca="1">IF(IFERROR(MATCH("*Other*",OFFSET(Budget!#REF!,B55,0,ROWS(#REF!),1),0)+B55,999)&lt;ROWS(#REF!),IFERROR(MATCH("*Other*",OFFSET(Budget!#REF!,B55,0,ROWS(#REF!),1),0)+B55,999),"")</f>
        <v>#REF!</v>
      </c>
      <c r="C56" s="70" t="str">
        <f ca="1">IFERROR(INDEX(#REF!,B56),"")</f>
        <v/>
      </c>
      <c r="E56" s="83" t="e">
        <f ca="1">IF(MIN(IFERROR(MATCH("*PostDoc*",OFFSET(Budget!#REF!,E55,0,ROWS(#REF!),1),0)+E55,999),IFERROR(MATCH("*PhD*",OFFSET(Budget!#REF!,E55,0,ROWS(#REF!),1),0)+E55,999),IFERROR(MATCH("*PDEng*",OFFSET(Budget!#REF!,E55,0,ROWS(#REF!),1),0)+E55,999))&lt;ROWS(#REF!),MIN(IFERROR(MATCH("*PostDoc*",OFFSET(Budget!#REF!,E55,0,ROWS(#REF!),1),0)+E55,999),IFERROR(MATCH("*PhD*",OFFSET(Budget!#REF!,E55,0,ROWS(#REF!),1),0)+E55,999),IFERROR(MATCH("*PDEng*",OFFSET(Budget!#REF!,E55,0,ROWS(#REF!),1),0)+E55,999)),"")</f>
        <v>#REF!</v>
      </c>
      <c r="F56" s="74" t="str">
        <f ca="1">IFERROR(INDEX(#REF!,E56)*INDEX(#REF!,E56)/12,"")</f>
        <v/>
      </c>
      <c r="G56" s="90"/>
      <c r="H56" s="83" t="e">
        <f ca="1">IF(IFERROR(MATCH("*researcher*",OFFSET(Budget!#REF!,H55,0,ROWS(#REF!),1),0)+H55,999)&lt;ROWS(#REF!),IFERROR(MATCH("*researcher*",OFFSET(Budget!#REF!,H55,0,ROWS(#REF!),1),0)+H55,999),"")</f>
        <v>#REF!</v>
      </c>
      <c r="I56" s="74" t="str">
        <f ca="1">IF(ISERROR(IF(AND(INDEX(#REF!,H56)&gt;=pers_oi_min_months,INDEX(#REF!,H56)/INDEX(#REF!,H56)*12/pers_other_nrhours_year&gt;=pers_oi_minFTE)=TRUE,INDEX(#REF!,H56)/12,0)),"",IF(AND(INDEX(#REF!,H56)&gt;=pers_oi_min_months,INDEX(#REF!,H56)/INDEX(#REF!,H56)*12/pers_other_nrhours_year&gt;=pers_oi_minFTE)=TRUE,INDEX(#REF!,H56)/12,""))</f>
        <v/>
      </c>
      <c r="J56" s="90"/>
      <c r="K56" s="83" t="e">
        <f ca="1">IF(IFERROR(MATCH("*Non-scientific*",OFFSET(Budget!#REF!,K55,0,ROWS(#REF!),1),0)+K55,999)&lt;ROWS(#REF!),IFERROR(MATCH("*Non-scientific*",OFFSET(Budget!#REF!,K55,0,ROWS(#REF!),1),0)+K55,999),"")</f>
        <v>#REF!</v>
      </c>
      <c r="L56" s="70" t="str">
        <f ca="1">IFERROR(INDEX(#REF!,K56),"")</f>
        <v/>
      </c>
      <c r="M56" s="113"/>
      <c r="N56" s="83" t="e">
        <f ca="1">IF(IFERROR(MATCH("*leave*",OFFSET(Budget!#REF!,N55,0,ROWS(#REF!),1),0)+N55,999)&lt;ROWS(#REF!),IFERROR(MATCH("*leave*",OFFSET(Budget!#REF!,N55,0,ROWS(#REF!),1),0)+N55,999),"")</f>
        <v>#REF!</v>
      </c>
      <c r="O56" s="88" t="str">
        <f ca="1">IFERROR(INDEX(#REF!,N56)*INDEX(#REF!,N56),"")</f>
        <v/>
      </c>
      <c r="P56" s="113"/>
      <c r="Q56" s="83" t="e">
        <f ca="1">IF(MIN(IFERROR(MATCH("*PostDoc*",OFFSET(Budget!#REF!,Q55,0,ROWS(#REF!)-Q55,1),0)+Q55,999),IFERROR(MATCH("*PhD*",OFFSET(Budget!#REF!,Q55,0,ROWS(#REF!)-Q55,1),0)+Q55,999),IFERROR(MATCH("*PDEng*",OFFSET(Budget!#REF!,Q55,0,ROWS(#REF!)-Q55,1),0)+Q55,999),IFERROR(MATCH("*Doctorate*",OFFSET(Budget!#REF!,Q55,0,ROWS(#REF!)-Q55,1),0)+Q55,999))&lt;ROWS(#REF!),MIN(IFERROR(MATCH("*PostDoc*",OFFSET(Budget!#REF!,Q55,0,ROWS(#REF!)-Q55,1),0)+Q55,999),IFERROR(MATCH("*PhD*",OFFSET(Budget!#REF!,Q55,0,ROWS(#REF!)-Q55,1),0)+Q55,999),IFERROR(MATCH("*PDEng*",OFFSET(Budget!#REF!,Q55,0,ROWS(#REF!)-Q55,1),0)+Q55,999),IFERROR(MATCH("*Doctorate*",OFFSET(Budget!#REF!,Q55,0,ROWS(#REF!)-Q55,1),0)+Q55,999)),"")</f>
        <v>#REF!</v>
      </c>
      <c r="R56" s="113" t="str">
        <f ca="1">IFERROR(INDEX(#REF!,Q56),"")</f>
        <v/>
      </c>
      <c r="S56" s="113" t="str">
        <f ca="1">IFERROR(INDEX(#REF!,Q56),"")</f>
        <v/>
      </c>
      <c r="T56" s="113" t="str">
        <f ca="1">IFERROR(INDEX(#REF!,Q56),"")</f>
        <v/>
      </c>
      <c r="U56" s="113" t="str">
        <f ca="1">SUBSTITUTE(IFERROR(INDEX(#REF!,Q56),""),0,"")</f>
        <v/>
      </c>
      <c r="V56" s="132" t="str">
        <f ca="1">SUBSTITUTE(IFERROR(INDEX(#REF!,Q56),""),0,"")</f>
        <v/>
      </c>
      <c r="W56" s="113"/>
      <c r="X56" s="133" t="e">
        <f>IF(ROW(E1593)-ROW($E$1548)&lt;ROWS(#REF!),IFERROR(IF(INDEX(list_cofunders[private?],MATCH(Budget!#REF!,list_cofunders[list cofunders],0),1)="yes",Budget!#REF!,""),""),"")</f>
        <v>#REF!</v>
      </c>
      <c r="Y56" s="134" t="e">
        <f>IF(ROW(E1696)-ROW($E$1651)&lt;ROWS(#REF!),IFERROR(IF(INDEX(list_cofunders[private?],MATCH(Budget!#REF!,list_cofunders[list cofunders],0),1)="yes",Budget!#REF!,""),""),"")</f>
        <v>#REF!</v>
      </c>
      <c r="Z56" s="113" t="str">
        <f>IFERROR(INDEX(#REF!,X56),"")</f>
        <v/>
      </c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CZ56" s="22"/>
      <c r="DA56" s="22"/>
      <c r="DB56" s="22"/>
      <c r="DC56" s="22"/>
      <c r="DD56" s="22"/>
      <c r="DE56" s="22"/>
      <c r="DF56" s="22"/>
      <c r="DG56" s="22"/>
      <c r="DH56" s="22"/>
    </row>
    <row r="57" spans="2:112" s="21" customFormat="1" ht="11.25" customHeight="1" outlineLevel="1" x14ac:dyDescent="0.35">
      <c r="B57" s="83" t="e">
        <f ca="1">IF(IFERROR(MATCH("*Other*",OFFSET(Budget!#REF!,B56,0,ROWS(#REF!),1),0)+B56,999)&lt;ROWS(#REF!),IFERROR(MATCH("*Other*",OFFSET(Budget!#REF!,B56,0,ROWS(#REF!),1),0)+B56,999),"")</f>
        <v>#REF!</v>
      </c>
      <c r="C57" s="70" t="str">
        <f ca="1">IFERROR(INDEX(#REF!,B57),"")</f>
        <v/>
      </c>
      <c r="E57" s="83" t="e">
        <f ca="1">IF(MIN(IFERROR(MATCH("*PostDoc*",OFFSET(Budget!#REF!,E56,0,ROWS(#REF!),1),0)+E56,999),IFERROR(MATCH("*PhD*",OFFSET(Budget!#REF!,E56,0,ROWS(#REF!),1),0)+E56,999),IFERROR(MATCH("*PDEng*",OFFSET(Budget!#REF!,E56,0,ROWS(#REF!),1),0)+E56,999))&lt;ROWS(#REF!),MIN(IFERROR(MATCH("*PostDoc*",OFFSET(Budget!#REF!,E56,0,ROWS(#REF!),1),0)+E56,999),IFERROR(MATCH("*PhD*",OFFSET(Budget!#REF!,E56,0,ROWS(#REF!),1),0)+E56,999),IFERROR(MATCH("*PDEng*",OFFSET(Budget!#REF!,E56,0,ROWS(#REF!),1),0)+E56,999)),"")</f>
        <v>#REF!</v>
      </c>
      <c r="F57" s="74" t="str">
        <f ca="1">IFERROR(INDEX(#REF!,E57)*INDEX(#REF!,E57)/12,"")</f>
        <v/>
      </c>
      <c r="G57" s="90"/>
      <c r="H57" s="83" t="e">
        <f ca="1">IF(IFERROR(MATCH("*researcher*",OFFSET(Budget!#REF!,H56,0,ROWS(#REF!),1),0)+H56,999)&lt;ROWS(#REF!),IFERROR(MATCH("*researcher*",OFFSET(Budget!#REF!,H56,0,ROWS(#REF!),1),0)+H56,999),"")</f>
        <v>#REF!</v>
      </c>
      <c r="I57" s="74" t="str">
        <f ca="1">IF(ISERROR(IF(AND(INDEX(#REF!,H57)&gt;=pers_oi_min_months,INDEX(#REF!,H57)/INDEX(#REF!,H57)*12/pers_other_nrhours_year&gt;=pers_oi_minFTE)=TRUE,INDEX(#REF!,H57)/12,0)),"",IF(AND(INDEX(#REF!,H57)&gt;=pers_oi_min_months,INDEX(#REF!,H57)/INDEX(#REF!,H57)*12/pers_other_nrhours_year&gt;=pers_oi_minFTE)=TRUE,INDEX(#REF!,H57)/12,""))</f>
        <v/>
      </c>
      <c r="J57" s="90"/>
      <c r="K57" s="83" t="e">
        <f ca="1">IF(IFERROR(MATCH("*Non-scientific*",OFFSET(Budget!#REF!,K56,0,ROWS(#REF!),1),0)+K56,999)&lt;ROWS(#REF!),IFERROR(MATCH("*Non-scientific*",OFFSET(Budget!#REF!,K56,0,ROWS(#REF!),1),0)+K56,999),"")</f>
        <v>#REF!</v>
      </c>
      <c r="L57" s="70" t="str">
        <f ca="1">IFERROR(INDEX(#REF!,K57),"")</f>
        <v/>
      </c>
      <c r="M57" s="113"/>
      <c r="N57" s="83" t="e">
        <f ca="1">IF(IFERROR(MATCH("*leave*",OFFSET(Budget!#REF!,N56,0,ROWS(#REF!),1),0)+N56,999)&lt;ROWS(#REF!),IFERROR(MATCH("*leave*",OFFSET(Budget!#REF!,N56,0,ROWS(#REF!),1),0)+N56,999),"")</f>
        <v>#REF!</v>
      </c>
      <c r="O57" s="88" t="str">
        <f ca="1">IFERROR(INDEX(#REF!,N57)*INDEX(#REF!,N57),"")</f>
        <v/>
      </c>
      <c r="P57" s="113"/>
      <c r="Q57" s="83" t="e">
        <f ca="1">IF(MIN(IFERROR(MATCH("*PostDoc*",OFFSET(Budget!#REF!,Q56,0,ROWS(#REF!)-Q56,1),0)+Q56,999),IFERROR(MATCH("*PhD*",OFFSET(Budget!#REF!,Q56,0,ROWS(#REF!)-Q56,1),0)+Q56,999),IFERROR(MATCH("*PDEng*",OFFSET(Budget!#REF!,Q56,0,ROWS(#REF!)-Q56,1),0)+Q56,999),IFERROR(MATCH("*Doctorate*",OFFSET(Budget!#REF!,Q56,0,ROWS(#REF!)-Q56,1),0)+Q56,999))&lt;ROWS(#REF!),MIN(IFERROR(MATCH("*PostDoc*",OFFSET(Budget!#REF!,Q56,0,ROWS(#REF!)-Q56,1),0)+Q56,999),IFERROR(MATCH("*PhD*",OFFSET(Budget!#REF!,Q56,0,ROWS(#REF!)-Q56,1),0)+Q56,999),IFERROR(MATCH("*PDEng*",OFFSET(Budget!#REF!,Q56,0,ROWS(#REF!)-Q56,1),0)+Q56,999),IFERROR(MATCH("*Doctorate*",OFFSET(Budget!#REF!,Q56,0,ROWS(#REF!)-Q56,1),0)+Q56,999)),"")</f>
        <v>#REF!</v>
      </c>
      <c r="R57" s="113" t="str">
        <f ca="1">IFERROR(INDEX(#REF!,Q57),"")</f>
        <v/>
      </c>
      <c r="S57" s="113" t="str">
        <f ca="1">IFERROR(INDEX(#REF!,Q57),"")</f>
        <v/>
      </c>
      <c r="T57" s="113" t="str">
        <f ca="1">IFERROR(INDEX(#REF!,Q57),"")</f>
        <v/>
      </c>
      <c r="U57" s="113" t="str">
        <f ca="1">SUBSTITUTE(IFERROR(INDEX(#REF!,Q57),""),0,"")</f>
        <v/>
      </c>
      <c r="V57" s="132" t="str">
        <f ca="1">SUBSTITUTE(IFERROR(INDEX(#REF!,Q57),""),0,"")</f>
        <v/>
      </c>
      <c r="W57" s="113"/>
      <c r="X57" s="133" t="e">
        <f>IF(ROW(E1594)-ROW($E$1548)&lt;ROWS(#REF!),IFERROR(IF(INDEX(list_cofunders[private?],MATCH(Budget!#REF!,list_cofunders[list cofunders],0),1)="yes",Budget!#REF!,""),""),"")</f>
        <v>#REF!</v>
      </c>
      <c r="Y57" s="134" t="e">
        <f>IF(ROW(E1697)-ROW($E$1651)&lt;ROWS(#REF!),IFERROR(IF(INDEX(list_cofunders[private?],MATCH(Budget!#REF!,list_cofunders[list cofunders],0),1)="yes",Budget!#REF!,""),""),"")</f>
        <v>#REF!</v>
      </c>
      <c r="Z57" s="113" t="str">
        <f>IFERROR(INDEX(#REF!,X57),"")</f>
        <v/>
      </c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CZ57" s="22"/>
      <c r="DA57" s="22"/>
      <c r="DB57" s="22"/>
      <c r="DC57" s="22"/>
      <c r="DD57" s="22"/>
      <c r="DE57" s="22"/>
      <c r="DF57" s="22"/>
      <c r="DG57" s="22"/>
      <c r="DH57" s="22"/>
    </row>
    <row r="58" spans="2:112" s="21" customFormat="1" ht="11.25" customHeight="1" outlineLevel="1" x14ac:dyDescent="0.35">
      <c r="B58" s="83" t="e">
        <f ca="1">IF(IFERROR(MATCH("*Other*",OFFSET(Budget!#REF!,B57,0,ROWS(#REF!),1),0)+B57,999)&lt;ROWS(#REF!),IFERROR(MATCH("*Other*",OFFSET(Budget!#REF!,B57,0,ROWS(#REF!),1),0)+B57,999),"")</f>
        <v>#REF!</v>
      </c>
      <c r="C58" s="70" t="str">
        <f ca="1">IFERROR(INDEX(#REF!,B58),"")</f>
        <v/>
      </c>
      <c r="E58" s="83" t="e">
        <f ca="1">IF(MIN(IFERROR(MATCH("*PostDoc*",OFFSET(Budget!#REF!,E57,0,ROWS(#REF!),1),0)+E57,999),IFERROR(MATCH("*PhD*",OFFSET(Budget!#REF!,E57,0,ROWS(#REF!),1),0)+E57,999),IFERROR(MATCH("*PDEng*",OFFSET(Budget!#REF!,E57,0,ROWS(#REF!),1),0)+E57,999))&lt;ROWS(#REF!),MIN(IFERROR(MATCH("*PostDoc*",OFFSET(Budget!#REF!,E57,0,ROWS(#REF!),1),0)+E57,999),IFERROR(MATCH("*PhD*",OFFSET(Budget!#REF!,E57,0,ROWS(#REF!),1),0)+E57,999),IFERROR(MATCH("*PDEng*",OFFSET(Budget!#REF!,E57,0,ROWS(#REF!),1),0)+E57,999)),"")</f>
        <v>#REF!</v>
      </c>
      <c r="F58" s="74" t="str">
        <f ca="1">IFERROR(INDEX(#REF!,E58)*INDEX(#REF!,E58)/12,"")</f>
        <v/>
      </c>
      <c r="G58" s="90"/>
      <c r="H58" s="83" t="e">
        <f ca="1">IF(IFERROR(MATCH("*researcher*",OFFSET(Budget!#REF!,H57,0,ROWS(#REF!),1),0)+H57,999)&lt;ROWS(#REF!),IFERROR(MATCH("*researcher*",OFFSET(Budget!#REF!,H57,0,ROWS(#REF!),1),0)+H57,999),"")</f>
        <v>#REF!</v>
      </c>
      <c r="I58" s="74" t="str">
        <f ca="1">IF(ISERROR(IF(AND(INDEX(#REF!,H58)&gt;=pers_oi_min_months,INDEX(#REF!,H58)/INDEX(#REF!,H58)*12/pers_other_nrhours_year&gt;=pers_oi_minFTE)=TRUE,INDEX(#REF!,H58)/12,0)),"",IF(AND(INDEX(#REF!,H58)&gt;=pers_oi_min_months,INDEX(#REF!,H58)/INDEX(#REF!,H58)*12/pers_other_nrhours_year&gt;=pers_oi_minFTE)=TRUE,INDEX(#REF!,H58)/12,""))</f>
        <v/>
      </c>
      <c r="J58" s="90"/>
      <c r="K58" s="83" t="e">
        <f ca="1">IF(IFERROR(MATCH("*Non-scientific*",OFFSET(Budget!#REF!,K57,0,ROWS(#REF!),1),0)+K57,999)&lt;ROWS(#REF!),IFERROR(MATCH("*Non-scientific*",OFFSET(Budget!#REF!,K57,0,ROWS(#REF!),1),0)+K57,999),"")</f>
        <v>#REF!</v>
      </c>
      <c r="L58" s="70" t="str">
        <f ca="1">IFERROR(INDEX(#REF!,K58),"")</f>
        <v/>
      </c>
      <c r="M58" s="113"/>
      <c r="N58" s="83" t="e">
        <f ca="1">IF(IFERROR(MATCH("*leave*",OFFSET(Budget!#REF!,N57,0,ROWS(#REF!),1),0)+N57,999)&lt;ROWS(#REF!),IFERROR(MATCH("*leave*",OFFSET(Budget!#REF!,N57,0,ROWS(#REF!),1),0)+N57,999),"")</f>
        <v>#REF!</v>
      </c>
      <c r="O58" s="88" t="str">
        <f ca="1">IFERROR(INDEX(#REF!,N58)*INDEX(#REF!,N58),"")</f>
        <v/>
      </c>
      <c r="P58" s="113"/>
      <c r="Q58" s="83" t="e">
        <f ca="1">IF(MIN(IFERROR(MATCH("*PostDoc*",OFFSET(Budget!#REF!,Q57,0,ROWS(#REF!)-Q57,1),0)+Q57,999),IFERROR(MATCH("*PhD*",OFFSET(Budget!#REF!,Q57,0,ROWS(#REF!)-Q57,1),0)+Q57,999),IFERROR(MATCH("*PDEng*",OFFSET(Budget!#REF!,Q57,0,ROWS(#REF!)-Q57,1),0)+Q57,999),IFERROR(MATCH("*Doctorate*",OFFSET(Budget!#REF!,Q57,0,ROWS(#REF!)-Q57,1),0)+Q57,999))&lt;ROWS(#REF!),MIN(IFERROR(MATCH("*PostDoc*",OFFSET(Budget!#REF!,Q57,0,ROWS(#REF!)-Q57,1),0)+Q57,999),IFERROR(MATCH("*PhD*",OFFSET(Budget!#REF!,Q57,0,ROWS(#REF!)-Q57,1),0)+Q57,999),IFERROR(MATCH("*PDEng*",OFFSET(Budget!#REF!,Q57,0,ROWS(#REF!)-Q57,1),0)+Q57,999),IFERROR(MATCH("*Doctorate*",OFFSET(Budget!#REF!,Q57,0,ROWS(#REF!)-Q57,1),0)+Q57,999)),"")</f>
        <v>#REF!</v>
      </c>
      <c r="R58" s="113" t="str">
        <f ca="1">IFERROR(INDEX(#REF!,Q58),"")</f>
        <v/>
      </c>
      <c r="S58" s="113" t="str">
        <f ca="1">IFERROR(INDEX(#REF!,Q58),"")</f>
        <v/>
      </c>
      <c r="T58" s="113" t="str">
        <f ca="1">IFERROR(INDEX(#REF!,Q58),"")</f>
        <v/>
      </c>
      <c r="U58" s="113" t="str">
        <f ca="1">SUBSTITUTE(IFERROR(INDEX(#REF!,Q58),""),0,"")</f>
        <v/>
      </c>
      <c r="V58" s="132" t="str">
        <f ca="1">SUBSTITUTE(IFERROR(INDEX(#REF!,Q58),""),0,"")</f>
        <v/>
      </c>
      <c r="W58" s="113"/>
      <c r="X58" s="133" t="e">
        <f>IF(ROW(E1595)-ROW($E$1548)&lt;ROWS(#REF!),IFERROR(IF(INDEX(list_cofunders[private?],MATCH(Budget!#REF!,list_cofunders[list cofunders],0),1)="yes",Budget!#REF!,""),""),"")</f>
        <v>#REF!</v>
      </c>
      <c r="Y58" s="134" t="e">
        <f>IF(ROW(E1698)-ROW($E$1651)&lt;ROWS(#REF!),IFERROR(IF(INDEX(list_cofunders[private?],MATCH(Budget!#REF!,list_cofunders[list cofunders],0),1)="yes",Budget!#REF!,""),""),"")</f>
        <v>#REF!</v>
      </c>
      <c r="Z58" s="113" t="str">
        <f>IFERROR(INDEX(#REF!,X58),"")</f>
        <v/>
      </c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CZ58" s="22"/>
      <c r="DA58" s="22"/>
      <c r="DB58" s="22"/>
      <c r="DC58" s="22"/>
      <c r="DD58" s="22"/>
      <c r="DE58" s="22"/>
      <c r="DF58" s="22"/>
      <c r="DG58" s="22"/>
      <c r="DH58" s="22"/>
    </row>
    <row r="59" spans="2:112" s="21" customFormat="1" ht="11.25" customHeight="1" outlineLevel="1" x14ac:dyDescent="0.35">
      <c r="B59" s="83" t="e">
        <f ca="1">IF(IFERROR(MATCH("*Other*",OFFSET(Budget!#REF!,B58,0,ROWS(#REF!),1),0)+B58,999)&lt;ROWS(#REF!),IFERROR(MATCH("*Other*",OFFSET(Budget!#REF!,B58,0,ROWS(#REF!),1),0)+B58,999),"")</f>
        <v>#REF!</v>
      </c>
      <c r="C59" s="70" t="str">
        <f ca="1">IFERROR(INDEX(#REF!,B59),"")</f>
        <v/>
      </c>
      <c r="E59" s="83" t="e">
        <f ca="1">IF(MIN(IFERROR(MATCH("*PostDoc*",OFFSET(Budget!#REF!,E58,0,ROWS(#REF!),1),0)+E58,999),IFERROR(MATCH("*PhD*",OFFSET(Budget!#REF!,E58,0,ROWS(#REF!),1),0)+E58,999),IFERROR(MATCH("*PDEng*",OFFSET(Budget!#REF!,E58,0,ROWS(#REF!),1),0)+E58,999))&lt;ROWS(#REF!),MIN(IFERROR(MATCH("*PostDoc*",OFFSET(Budget!#REF!,E58,0,ROWS(#REF!),1),0)+E58,999),IFERROR(MATCH("*PhD*",OFFSET(Budget!#REF!,E58,0,ROWS(#REF!),1),0)+E58,999),IFERROR(MATCH("*PDEng*",OFFSET(Budget!#REF!,E58,0,ROWS(#REF!),1),0)+E58,999)),"")</f>
        <v>#REF!</v>
      </c>
      <c r="F59" s="74" t="str">
        <f ca="1">IFERROR(INDEX(#REF!,E59)*INDEX(#REF!,E59)/12,"")</f>
        <v/>
      </c>
      <c r="G59" s="90"/>
      <c r="H59" s="83" t="e">
        <f ca="1">IF(IFERROR(MATCH("*researcher*",OFFSET(Budget!#REF!,H58,0,ROWS(#REF!),1),0)+H58,999)&lt;ROWS(#REF!),IFERROR(MATCH("*researcher*",OFFSET(Budget!#REF!,H58,0,ROWS(#REF!),1),0)+H58,999),"")</f>
        <v>#REF!</v>
      </c>
      <c r="I59" s="74" t="str">
        <f ca="1">IF(ISERROR(IF(AND(INDEX(#REF!,H59)&gt;=pers_oi_min_months,INDEX(#REF!,H59)/INDEX(#REF!,H59)*12/pers_other_nrhours_year&gt;=pers_oi_minFTE)=TRUE,INDEX(#REF!,H59)/12,0)),"",IF(AND(INDEX(#REF!,H59)&gt;=pers_oi_min_months,INDEX(#REF!,H59)/INDEX(#REF!,H59)*12/pers_other_nrhours_year&gt;=pers_oi_minFTE)=TRUE,INDEX(#REF!,H59)/12,""))</f>
        <v/>
      </c>
      <c r="J59" s="90"/>
      <c r="K59" s="83" t="e">
        <f ca="1">IF(IFERROR(MATCH("*Non-scientific*",OFFSET(Budget!#REF!,K58,0,ROWS(#REF!),1),0)+K58,999)&lt;ROWS(#REF!),IFERROR(MATCH("*Non-scientific*",OFFSET(Budget!#REF!,K58,0,ROWS(#REF!),1),0)+K58,999),"")</f>
        <v>#REF!</v>
      </c>
      <c r="L59" s="70" t="str">
        <f ca="1">IFERROR(INDEX(#REF!,K59),"")</f>
        <v/>
      </c>
      <c r="M59" s="113"/>
      <c r="N59" s="83" t="e">
        <f ca="1">IF(IFERROR(MATCH("*leave*",OFFSET(Budget!#REF!,N58,0,ROWS(#REF!),1),0)+N58,999)&lt;ROWS(#REF!),IFERROR(MATCH("*leave*",OFFSET(Budget!#REF!,N58,0,ROWS(#REF!),1),0)+N58,999),"")</f>
        <v>#REF!</v>
      </c>
      <c r="O59" s="88" t="str">
        <f ca="1">IFERROR(INDEX(#REF!,N59)*INDEX(#REF!,N59),"")</f>
        <v/>
      </c>
      <c r="P59" s="113"/>
      <c r="Q59" s="83" t="e">
        <f ca="1">IF(MIN(IFERROR(MATCH("*PostDoc*",OFFSET(Budget!#REF!,Q58,0,ROWS(#REF!)-Q58,1),0)+Q58,999),IFERROR(MATCH("*PhD*",OFFSET(Budget!#REF!,Q58,0,ROWS(#REF!)-Q58,1),0)+Q58,999),IFERROR(MATCH("*PDEng*",OFFSET(Budget!#REF!,Q58,0,ROWS(#REF!)-Q58,1),0)+Q58,999),IFERROR(MATCH("*Doctorate*",OFFSET(Budget!#REF!,Q58,0,ROWS(#REF!)-Q58,1),0)+Q58,999))&lt;ROWS(#REF!),MIN(IFERROR(MATCH("*PostDoc*",OFFSET(Budget!#REF!,Q58,0,ROWS(#REF!)-Q58,1),0)+Q58,999),IFERROR(MATCH("*PhD*",OFFSET(Budget!#REF!,Q58,0,ROWS(#REF!)-Q58,1),0)+Q58,999),IFERROR(MATCH("*PDEng*",OFFSET(Budget!#REF!,Q58,0,ROWS(#REF!)-Q58,1),0)+Q58,999),IFERROR(MATCH("*Doctorate*",OFFSET(Budget!#REF!,Q58,0,ROWS(#REF!)-Q58,1),0)+Q58,999)),"")</f>
        <v>#REF!</v>
      </c>
      <c r="R59" s="113" t="str">
        <f ca="1">IFERROR(INDEX(#REF!,Q59),"")</f>
        <v/>
      </c>
      <c r="S59" s="113" t="str">
        <f ca="1">IFERROR(INDEX(#REF!,Q59),"")</f>
        <v/>
      </c>
      <c r="T59" s="113" t="str">
        <f ca="1">IFERROR(INDEX(#REF!,Q59),"")</f>
        <v/>
      </c>
      <c r="U59" s="113" t="str">
        <f ca="1">SUBSTITUTE(IFERROR(INDEX(#REF!,Q59),""),0,"")</f>
        <v/>
      </c>
      <c r="V59" s="132" t="str">
        <f ca="1">SUBSTITUTE(IFERROR(INDEX(#REF!,Q59),""),0,"")</f>
        <v/>
      </c>
      <c r="W59" s="113"/>
      <c r="X59" s="133" t="e">
        <f>IF(ROW(E1596)-ROW($E$1548)&lt;ROWS(#REF!),IFERROR(IF(INDEX(list_cofunders[private?],MATCH(Budget!#REF!,list_cofunders[list cofunders],0),1)="yes",Budget!#REF!,""),""),"")</f>
        <v>#REF!</v>
      </c>
      <c r="Y59" s="134" t="e">
        <f>IF(ROW(E1699)-ROW($E$1651)&lt;ROWS(#REF!),IFERROR(IF(INDEX(list_cofunders[private?],MATCH(Budget!#REF!,list_cofunders[list cofunders],0),1)="yes",Budget!#REF!,""),""),"")</f>
        <v>#REF!</v>
      </c>
      <c r="Z59" s="113" t="str">
        <f>IFERROR(INDEX(#REF!,X59),"")</f>
        <v/>
      </c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CZ59" s="22"/>
      <c r="DA59" s="22"/>
      <c r="DB59" s="22"/>
      <c r="DC59" s="22"/>
      <c r="DD59" s="22"/>
      <c r="DE59" s="22"/>
      <c r="DF59" s="22"/>
      <c r="DG59" s="22"/>
      <c r="DH59" s="22"/>
    </row>
    <row r="60" spans="2:112" s="21" customFormat="1" ht="11.25" customHeight="1" outlineLevel="1" x14ac:dyDescent="0.35">
      <c r="B60" s="83" t="e">
        <f ca="1">IF(IFERROR(MATCH("*Other*",OFFSET(Budget!#REF!,B59,0,ROWS(#REF!),1),0)+B59,999)&lt;ROWS(#REF!),IFERROR(MATCH("*Other*",OFFSET(Budget!#REF!,B59,0,ROWS(#REF!),1),0)+B59,999),"")</f>
        <v>#REF!</v>
      </c>
      <c r="C60" s="70" t="str">
        <f ca="1">IFERROR(INDEX(#REF!,B60),"")</f>
        <v/>
      </c>
      <c r="E60" s="83" t="e">
        <f ca="1">IF(MIN(IFERROR(MATCH("*PostDoc*",OFFSET(Budget!#REF!,E59,0,ROWS(#REF!),1),0)+E59,999),IFERROR(MATCH("*PhD*",OFFSET(Budget!#REF!,E59,0,ROWS(#REF!),1),0)+E59,999),IFERROR(MATCH("*PDEng*",OFFSET(Budget!#REF!,E59,0,ROWS(#REF!),1),0)+E59,999))&lt;ROWS(#REF!),MIN(IFERROR(MATCH("*PostDoc*",OFFSET(Budget!#REF!,E59,0,ROWS(#REF!),1),0)+E59,999),IFERROR(MATCH("*PhD*",OFFSET(Budget!#REF!,E59,0,ROWS(#REF!),1),0)+E59,999),IFERROR(MATCH("*PDEng*",OFFSET(Budget!#REF!,E59,0,ROWS(#REF!),1),0)+E59,999)),"")</f>
        <v>#REF!</v>
      </c>
      <c r="F60" s="74" t="str">
        <f ca="1">IFERROR(INDEX(#REF!,E60)*INDEX(#REF!,E60)/12,"")</f>
        <v/>
      </c>
      <c r="G60" s="90"/>
      <c r="H60" s="83" t="e">
        <f ca="1">IF(IFERROR(MATCH("*researcher*",OFFSET(Budget!#REF!,H59,0,ROWS(#REF!),1),0)+H59,999)&lt;ROWS(#REF!),IFERROR(MATCH("*researcher*",OFFSET(Budget!#REF!,H59,0,ROWS(#REF!),1),0)+H59,999),"")</f>
        <v>#REF!</v>
      </c>
      <c r="I60" s="74" t="str">
        <f ca="1">IF(ISERROR(IF(AND(INDEX(#REF!,H60)&gt;=pers_oi_min_months,INDEX(#REF!,H60)/INDEX(#REF!,H60)*12/pers_other_nrhours_year&gt;=pers_oi_minFTE)=TRUE,INDEX(#REF!,H60)/12,0)),"",IF(AND(INDEX(#REF!,H60)&gt;=pers_oi_min_months,INDEX(#REF!,H60)/INDEX(#REF!,H60)*12/pers_other_nrhours_year&gt;=pers_oi_minFTE)=TRUE,INDEX(#REF!,H60)/12,""))</f>
        <v/>
      </c>
      <c r="J60" s="90"/>
      <c r="K60" s="83" t="e">
        <f ca="1">IF(IFERROR(MATCH("*Non-scientific*",OFFSET(Budget!#REF!,K59,0,ROWS(#REF!),1),0)+K59,999)&lt;ROWS(#REF!),IFERROR(MATCH("*Non-scientific*",OFFSET(Budget!#REF!,K59,0,ROWS(#REF!),1),0)+K59,999),"")</f>
        <v>#REF!</v>
      </c>
      <c r="L60" s="70" t="str">
        <f ca="1">IFERROR(INDEX(#REF!,K60),"")</f>
        <v/>
      </c>
      <c r="M60" s="113"/>
      <c r="N60" s="83" t="e">
        <f ca="1">IF(IFERROR(MATCH("*leave*",OFFSET(Budget!#REF!,N59,0,ROWS(#REF!),1),0)+N59,999)&lt;ROWS(#REF!),IFERROR(MATCH("*leave*",OFFSET(Budget!#REF!,N59,0,ROWS(#REF!),1),0)+N59,999),"")</f>
        <v>#REF!</v>
      </c>
      <c r="O60" s="88" t="str">
        <f ca="1">IFERROR(INDEX(#REF!,N60)*INDEX(#REF!,N60),"")</f>
        <v/>
      </c>
      <c r="P60" s="113"/>
      <c r="Q60" s="83" t="e">
        <f ca="1">IF(MIN(IFERROR(MATCH("*PostDoc*",OFFSET(Budget!#REF!,Q59,0,ROWS(#REF!)-Q59,1),0)+Q59,999),IFERROR(MATCH("*PhD*",OFFSET(Budget!#REF!,Q59,0,ROWS(#REF!)-Q59,1),0)+Q59,999),IFERROR(MATCH("*PDEng*",OFFSET(Budget!#REF!,Q59,0,ROWS(#REF!)-Q59,1),0)+Q59,999),IFERROR(MATCH("*Doctorate*",OFFSET(Budget!#REF!,Q59,0,ROWS(#REF!)-Q59,1),0)+Q59,999))&lt;ROWS(#REF!),MIN(IFERROR(MATCH("*PostDoc*",OFFSET(Budget!#REF!,Q59,0,ROWS(#REF!)-Q59,1),0)+Q59,999),IFERROR(MATCH("*PhD*",OFFSET(Budget!#REF!,Q59,0,ROWS(#REF!)-Q59,1),0)+Q59,999),IFERROR(MATCH("*PDEng*",OFFSET(Budget!#REF!,Q59,0,ROWS(#REF!)-Q59,1),0)+Q59,999),IFERROR(MATCH("*Doctorate*",OFFSET(Budget!#REF!,Q59,0,ROWS(#REF!)-Q59,1),0)+Q59,999)),"")</f>
        <v>#REF!</v>
      </c>
      <c r="R60" s="113" t="str">
        <f ca="1">IFERROR(INDEX(#REF!,Q60),"")</f>
        <v/>
      </c>
      <c r="S60" s="113" t="str">
        <f ca="1">IFERROR(INDEX(#REF!,Q60),"")</f>
        <v/>
      </c>
      <c r="T60" s="113" t="str">
        <f ca="1">IFERROR(INDEX(#REF!,Q60),"")</f>
        <v/>
      </c>
      <c r="U60" s="113" t="str">
        <f ca="1">SUBSTITUTE(IFERROR(INDEX(#REF!,Q60),""),0,"")</f>
        <v/>
      </c>
      <c r="V60" s="132" t="str">
        <f ca="1">SUBSTITUTE(IFERROR(INDEX(#REF!,Q60),""),0,"")</f>
        <v/>
      </c>
      <c r="W60" s="113"/>
      <c r="X60" s="133" t="e">
        <f>IF(ROW(E1597)-ROW($E$1548)&lt;ROWS(#REF!),IFERROR(IF(INDEX(list_cofunders[private?],MATCH(Budget!#REF!,list_cofunders[list cofunders],0),1)="yes",Budget!#REF!,""),""),"")</f>
        <v>#REF!</v>
      </c>
      <c r="Y60" s="134" t="e">
        <f>IF(ROW(E1700)-ROW($E$1651)&lt;ROWS(#REF!),IFERROR(IF(INDEX(list_cofunders[private?],MATCH(Budget!#REF!,list_cofunders[list cofunders],0),1)="yes",Budget!#REF!,""),""),"")</f>
        <v>#REF!</v>
      </c>
      <c r="Z60" s="113" t="str">
        <f>IFERROR(INDEX(#REF!,X60),"")</f>
        <v/>
      </c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CZ60" s="22"/>
      <c r="DA60" s="22"/>
      <c r="DB60" s="22"/>
      <c r="DC60" s="22"/>
      <c r="DD60" s="22"/>
      <c r="DE60" s="22"/>
      <c r="DF60" s="22"/>
      <c r="DG60" s="22"/>
      <c r="DH60" s="22"/>
    </row>
    <row r="61" spans="2:112" s="21" customFormat="1" ht="11.25" customHeight="1" outlineLevel="1" x14ac:dyDescent="0.35">
      <c r="B61" s="83" t="e">
        <f ca="1">IF(IFERROR(MATCH("*Other*",OFFSET(Budget!#REF!,B60,0,ROWS(#REF!),1),0)+B60,999)&lt;ROWS(#REF!),IFERROR(MATCH("*Other*",OFFSET(Budget!#REF!,B60,0,ROWS(#REF!),1),0)+B60,999),"")</f>
        <v>#REF!</v>
      </c>
      <c r="C61" s="70" t="str">
        <f ca="1">IFERROR(INDEX(#REF!,B61),"")</f>
        <v/>
      </c>
      <c r="E61" s="83" t="e">
        <f ca="1">IF(MIN(IFERROR(MATCH("*PostDoc*",OFFSET(Budget!#REF!,E60,0,ROWS(#REF!),1),0)+E60,999),IFERROR(MATCH("*PhD*",OFFSET(Budget!#REF!,E60,0,ROWS(#REF!),1),0)+E60,999),IFERROR(MATCH("*PDEng*",OFFSET(Budget!#REF!,E60,0,ROWS(#REF!),1),0)+E60,999))&lt;ROWS(#REF!),MIN(IFERROR(MATCH("*PostDoc*",OFFSET(Budget!#REF!,E60,0,ROWS(#REF!),1),0)+E60,999),IFERROR(MATCH("*PhD*",OFFSET(Budget!#REF!,E60,0,ROWS(#REF!),1),0)+E60,999),IFERROR(MATCH("*PDEng*",OFFSET(Budget!#REF!,E60,0,ROWS(#REF!),1),0)+E60,999)),"")</f>
        <v>#REF!</v>
      </c>
      <c r="F61" s="74" t="str">
        <f ca="1">IFERROR(INDEX(#REF!,E61)*INDEX(#REF!,E61)/12,"")</f>
        <v/>
      </c>
      <c r="G61" s="90"/>
      <c r="H61" s="83" t="e">
        <f ca="1">IF(IFERROR(MATCH("*researcher*",OFFSET(Budget!#REF!,H60,0,ROWS(#REF!),1),0)+H60,999)&lt;ROWS(#REF!),IFERROR(MATCH("*researcher*",OFFSET(Budget!#REF!,H60,0,ROWS(#REF!),1),0)+H60,999),"")</f>
        <v>#REF!</v>
      </c>
      <c r="I61" s="74" t="str">
        <f ca="1">IF(ISERROR(IF(AND(INDEX(#REF!,H61)&gt;=pers_oi_min_months,INDEX(#REF!,H61)/INDEX(#REF!,H61)*12/pers_other_nrhours_year&gt;=pers_oi_minFTE)=TRUE,INDEX(#REF!,H61)/12,0)),"",IF(AND(INDEX(#REF!,H61)&gt;=pers_oi_min_months,INDEX(#REF!,H61)/INDEX(#REF!,H61)*12/pers_other_nrhours_year&gt;=pers_oi_minFTE)=TRUE,INDEX(#REF!,H61)/12,""))</f>
        <v/>
      </c>
      <c r="J61" s="90"/>
      <c r="K61" s="83" t="e">
        <f ca="1">IF(IFERROR(MATCH("*Non-scientific*",OFFSET(Budget!#REF!,K60,0,ROWS(#REF!),1),0)+K60,999)&lt;ROWS(#REF!),IFERROR(MATCH("*Non-scientific*",OFFSET(Budget!#REF!,K60,0,ROWS(#REF!),1),0)+K60,999),"")</f>
        <v>#REF!</v>
      </c>
      <c r="L61" s="70" t="str">
        <f ca="1">IFERROR(INDEX(#REF!,K61),"")</f>
        <v/>
      </c>
      <c r="M61" s="113"/>
      <c r="N61" s="83" t="e">
        <f ca="1">IF(IFERROR(MATCH("*leave*",OFFSET(Budget!#REF!,N60,0,ROWS(#REF!),1),0)+N60,999)&lt;ROWS(#REF!),IFERROR(MATCH("*leave*",OFFSET(Budget!#REF!,N60,0,ROWS(#REF!),1),0)+N60,999),"")</f>
        <v>#REF!</v>
      </c>
      <c r="O61" s="88" t="str">
        <f ca="1">IFERROR(INDEX(#REF!,N61)*INDEX(#REF!,N61),"")</f>
        <v/>
      </c>
      <c r="P61" s="113"/>
      <c r="Q61" s="83" t="e">
        <f ca="1">IF(MIN(IFERROR(MATCH("*PostDoc*",OFFSET(Budget!#REF!,Q60,0,ROWS(#REF!)-Q60,1),0)+Q60,999),IFERROR(MATCH("*PhD*",OFFSET(Budget!#REF!,Q60,0,ROWS(#REF!)-Q60,1),0)+Q60,999),IFERROR(MATCH("*PDEng*",OFFSET(Budget!#REF!,Q60,0,ROWS(#REF!)-Q60,1),0)+Q60,999),IFERROR(MATCH("*Doctorate*",OFFSET(Budget!#REF!,Q60,0,ROWS(#REF!)-Q60,1),0)+Q60,999))&lt;ROWS(#REF!),MIN(IFERROR(MATCH("*PostDoc*",OFFSET(Budget!#REF!,Q60,0,ROWS(#REF!)-Q60,1),0)+Q60,999),IFERROR(MATCH("*PhD*",OFFSET(Budget!#REF!,Q60,0,ROWS(#REF!)-Q60,1),0)+Q60,999),IFERROR(MATCH("*PDEng*",OFFSET(Budget!#REF!,Q60,0,ROWS(#REF!)-Q60,1),0)+Q60,999),IFERROR(MATCH("*Doctorate*",OFFSET(Budget!#REF!,Q60,0,ROWS(#REF!)-Q60,1),0)+Q60,999)),"")</f>
        <v>#REF!</v>
      </c>
      <c r="R61" s="113" t="str">
        <f ca="1">IFERROR(INDEX(#REF!,Q61),"")</f>
        <v/>
      </c>
      <c r="S61" s="113" t="str">
        <f ca="1">IFERROR(INDEX(#REF!,Q61),"")</f>
        <v/>
      </c>
      <c r="T61" s="113" t="str">
        <f ca="1">IFERROR(INDEX(#REF!,Q61),"")</f>
        <v/>
      </c>
      <c r="U61" s="113" t="str">
        <f ca="1">SUBSTITUTE(IFERROR(INDEX(#REF!,Q61),""),0,"")</f>
        <v/>
      </c>
      <c r="V61" s="132" t="str">
        <f ca="1">SUBSTITUTE(IFERROR(INDEX(#REF!,Q61),""),0,"")</f>
        <v/>
      </c>
      <c r="W61" s="113"/>
      <c r="X61" s="133" t="e">
        <f>IF(ROW(E1598)-ROW($E$1548)&lt;ROWS(#REF!),IFERROR(IF(INDEX(list_cofunders[private?],MATCH(Budget!#REF!,list_cofunders[list cofunders],0),1)="yes",Budget!#REF!,""),""),"")</f>
        <v>#REF!</v>
      </c>
      <c r="Y61" s="134" t="e">
        <f>IF(ROW(E1701)-ROW($E$1651)&lt;ROWS(#REF!),IFERROR(IF(INDEX(list_cofunders[private?],MATCH(Budget!#REF!,list_cofunders[list cofunders],0),1)="yes",Budget!#REF!,""),""),"")</f>
        <v>#REF!</v>
      </c>
      <c r="Z61" s="113" t="str">
        <f>IFERROR(INDEX(#REF!,X61),"")</f>
        <v/>
      </c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CZ61" s="22"/>
      <c r="DA61" s="22"/>
      <c r="DB61" s="22"/>
      <c r="DC61" s="22"/>
      <c r="DD61" s="22"/>
      <c r="DE61" s="22"/>
      <c r="DF61" s="22"/>
      <c r="DG61" s="22"/>
      <c r="DH61" s="22"/>
    </row>
    <row r="62" spans="2:112" s="21" customFormat="1" ht="11.25" customHeight="1" outlineLevel="1" x14ac:dyDescent="0.35">
      <c r="B62" s="83" t="e">
        <f ca="1">IF(IFERROR(MATCH("*Other*",OFFSET(Budget!#REF!,B61,0,ROWS(#REF!),1),0)+B61,999)&lt;ROWS(#REF!),IFERROR(MATCH("*Other*",OFFSET(Budget!#REF!,B61,0,ROWS(#REF!),1),0)+B61,999),"")</f>
        <v>#REF!</v>
      </c>
      <c r="C62" s="70" t="str">
        <f ca="1">IFERROR(INDEX(#REF!,B62),"")</f>
        <v/>
      </c>
      <c r="E62" s="83" t="e">
        <f ca="1">IF(MIN(IFERROR(MATCH("*PostDoc*",OFFSET(Budget!#REF!,E61,0,ROWS(#REF!),1),0)+E61,999),IFERROR(MATCH("*PhD*",OFFSET(Budget!#REF!,E61,0,ROWS(#REF!),1),0)+E61,999),IFERROR(MATCH("*PDEng*",OFFSET(Budget!#REF!,E61,0,ROWS(#REF!),1),0)+E61,999))&lt;ROWS(#REF!),MIN(IFERROR(MATCH("*PostDoc*",OFFSET(Budget!#REF!,E61,0,ROWS(#REF!),1),0)+E61,999),IFERROR(MATCH("*PhD*",OFFSET(Budget!#REF!,E61,0,ROWS(#REF!),1),0)+E61,999),IFERROR(MATCH("*PDEng*",OFFSET(Budget!#REF!,E61,0,ROWS(#REF!),1),0)+E61,999)),"")</f>
        <v>#REF!</v>
      </c>
      <c r="F62" s="74" t="str">
        <f ca="1">IFERROR(INDEX(#REF!,E62)*INDEX(#REF!,E62)/12,"")</f>
        <v/>
      </c>
      <c r="G62" s="90"/>
      <c r="H62" s="83" t="e">
        <f ca="1">IF(IFERROR(MATCH("*researcher*",OFFSET(Budget!#REF!,H61,0,ROWS(#REF!),1),0)+H61,999)&lt;ROWS(#REF!),IFERROR(MATCH("*researcher*",OFFSET(Budget!#REF!,H61,0,ROWS(#REF!),1),0)+H61,999),"")</f>
        <v>#REF!</v>
      </c>
      <c r="I62" s="74" t="str">
        <f ca="1">IF(ISERROR(IF(AND(INDEX(#REF!,H62)&gt;=pers_oi_min_months,INDEX(#REF!,H62)/INDEX(#REF!,H62)*12/pers_other_nrhours_year&gt;=pers_oi_minFTE)=TRUE,INDEX(#REF!,H62)/12,0)),"",IF(AND(INDEX(#REF!,H62)&gt;=pers_oi_min_months,INDEX(#REF!,H62)/INDEX(#REF!,H62)*12/pers_other_nrhours_year&gt;=pers_oi_minFTE)=TRUE,INDEX(#REF!,H62)/12,""))</f>
        <v/>
      </c>
      <c r="J62" s="90"/>
      <c r="K62" s="83" t="e">
        <f ca="1">IF(IFERROR(MATCH("*Non-scientific*",OFFSET(Budget!#REF!,K61,0,ROWS(#REF!),1),0)+K61,999)&lt;ROWS(#REF!),IFERROR(MATCH("*Non-scientific*",OFFSET(Budget!#REF!,K61,0,ROWS(#REF!),1),0)+K61,999),"")</f>
        <v>#REF!</v>
      </c>
      <c r="L62" s="70" t="str">
        <f ca="1">IFERROR(INDEX(#REF!,K62),"")</f>
        <v/>
      </c>
      <c r="M62" s="113"/>
      <c r="N62" s="83" t="e">
        <f ca="1">IF(IFERROR(MATCH("*leave*",OFFSET(Budget!#REF!,N61,0,ROWS(#REF!),1),0)+N61,999)&lt;ROWS(#REF!),IFERROR(MATCH("*leave*",OFFSET(Budget!#REF!,N61,0,ROWS(#REF!),1),0)+N61,999),"")</f>
        <v>#REF!</v>
      </c>
      <c r="O62" s="88" t="str">
        <f ca="1">IFERROR(INDEX(#REF!,N62)*INDEX(#REF!,N62),"")</f>
        <v/>
      </c>
      <c r="P62" s="113"/>
      <c r="Q62" s="83" t="e">
        <f ca="1">IF(MIN(IFERROR(MATCH("*PostDoc*",OFFSET(Budget!#REF!,Q61,0,ROWS(#REF!)-Q61,1),0)+Q61,999),IFERROR(MATCH("*PhD*",OFFSET(Budget!#REF!,Q61,0,ROWS(#REF!)-Q61,1),0)+Q61,999),IFERROR(MATCH("*PDEng*",OFFSET(Budget!#REF!,Q61,0,ROWS(#REF!)-Q61,1),0)+Q61,999),IFERROR(MATCH("*Doctorate*",OFFSET(Budget!#REF!,Q61,0,ROWS(#REF!)-Q61,1),0)+Q61,999))&lt;ROWS(#REF!),MIN(IFERROR(MATCH("*PostDoc*",OFFSET(Budget!#REF!,Q61,0,ROWS(#REF!)-Q61,1),0)+Q61,999),IFERROR(MATCH("*PhD*",OFFSET(Budget!#REF!,Q61,0,ROWS(#REF!)-Q61,1),0)+Q61,999),IFERROR(MATCH("*PDEng*",OFFSET(Budget!#REF!,Q61,0,ROWS(#REF!)-Q61,1),0)+Q61,999),IFERROR(MATCH("*Doctorate*",OFFSET(Budget!#REF!,Q61,0,ROWS(#REF!)-Q61,1),0)+Q61,999)),"")</f>
        <v>#REF!</v>
      </c>
      <c r="R62" s="113" t="str">
        <f ca="1">IFERROR(INDEX(#REF!,Q62),"")</f>
        <v/>
      </c>
      <c r="S62" s="113" t="str">
        <f ca="1">IFERROR(INDEX(#REF!,Q62),"")</f>
        <v/>
      </c>
      <c r="T62" s="113" t="str">
        <f ca="1">IFERROR(INDEX(#REF!,Q62),"")</f>
        <v/>
      </c>
      <c r="U62" s="113" t="str">
        <f ca="1">SUBSTITUTE(IFERROR(INDEX(#REF!,Q62),""),0,"")</f>
        <v/>
      </c>
      <c r="V62" s="132" t="str">
        <f ca="1">SUBSTITUTE(IFERROR(INDEX(#REF!,Q62),""),0,"")</f>
        <v/>
      </c>
      <c r="W62" s="113"/>
      <c r="X62" s="133" t="e">
        <f>IF(ROW(E1599)-ROW($E$1548)&lt;ROWS(#REF!),IFERROR(IF(INDEX(list_cofunders[private?],MATCH(Budget!#REF!,list_cofunders[list cofunders],0),1)="yes",Budget!#REF!,""),""),"")</f>
        <v>#REF!</v>
      </c>
      <c r="Y62" s="134" t="e">
        <f>IF(ROW(E1702)-ROW($E$1651)&lt;ROWS(#REF!),IFERROR(IF(INDEX(list_cofunders[private?],MATCH(Budget!#REF!,list_cofunders[list cofunders],0),1)="yes",Budget!#REF!,""),""),"")</f>
        <v>#REF!</v>
      </c>
      <c r="Z62" s="113" t="str">
        <f>IFERROR(INDEX(#REF!,X62),"")</f>
        <v/>
      </c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CZ62" s="22"/>
      <c r="DA62" s="22"/>
      <c r="DB62" s="22"/>
      <c r="DC62" s="22"/>
      <c r="DD62" s="22"/>
      <c r="DE62" s="22"/>
      <c r="DF62" s="22"/>
      <c r="DG62" s="22"/>
      <c r="DH62" s="22"/>
    </row>
    <row r="63" spans="2:112" s="21" customFormat="1" ht="11.25" customHeight="1" outlineLevel="1" x14ac:dyDescent="0.35">
      <c r="B63" s="83" t="e">
        <f ca="1">IF(IFERROR(MATCH("*Other*",OFFSET(Budget!#REF!,B62,0,ROWS(#REF!),1),0)+B62,999)&lt;ROWS(#REF!),IFERROR(MATCH("*Other*",OFFSET(Budget!#REF!,B62,0,ROWS(#REF!),1),0)+B62,999),"")</f>
        <v>#REF!</v>
      </c>
      <c r="C63" s="70" t="str">
        <f ca="1">IFERROR(INDEX(#REF!,B63),"")</f>
        <v/>
      </c>
      <c r="E63" s="83" t="e">
        <f ca="1">IF(MIN(IFERROR(MATCH("*PostDoc*",OFFSET(Budget!#REF!,E62,0,ROWS(#REF!),1),0)+E62,999),IFERROR(MATCH("*PhD*",OFFSET(Budget!#REF!,E62,0,ROWS(#REF!),1),0)+E62,999),IFERROR(MATCH("*PDEng*",OFFSET(Budget!#REF!,E62,0,ROWS(#REF!),1),0)+E62,999))&lt;ROWS(#REF!),MIN(IFERROR(MATCH("*PostDoc*",OFFSET(Budget!#REF!,E62,0,ROWS(#REF!),1),0)+E62,999),IFERROR(MATCH("*PhD*",OFFSET(Budget!#REF!,E62,0,ROWS(#REF!),1),0)+E62,999),IFERROR(MATCH("*PDEng*",OFFSET(Budget!#REF!,E62,0,ROWS(#REF!),1),0)+E62,999)),"")</f>
        <v>#REF!</v>
      </c>
      <c r="F63" s="74" t="str">
        <f ca="1">IFERROR(INDEX(#REF!,E63)*INDEX(#REF!,E63)/12,"")</f>
        <v/>
      </c>
      <c r="G63" s="90"/>
      <c r="H63" s="83" t="e">
        <f ca="1">IF(IFERROR(MATCH("*researcher*",OFFSET(Budget!#REF!,H62,0,ROWS(#REF!),1),0)+H62,999)&lt;ROWS(#REF!),IFERROR(MATCH("*researcher*",OFFSET(Budget!#REF!,H62,0,ROWS(#REF!),1),0)+H62,999),"")</f>
        <v>#REF!</v>
      </c>
      <c r="I63" s="74" t="str">
        <f ca="1">IF(ISERROR(IF(AND(INDEX(#REF!,H63)&gt;=pers_oi_min_months,INDEX(#REF!,H63)/INDEX(#REF!,H63)*12/pers_other_nrhours_year&gt;=pers_oi_minFTE)=TRUE,INDEX(#REF!,H63)/12,0)),"",IF(AND(INDEX(#REF!,H63)&gt;=pers_oi_min_months,INDEX(#REF!,H63)/INDEX(#REF!,H63)*12/pers_other_nrhours_year&gt;=pers_oi_minFTE)=TRUE,INDEX(#REF!,H63)/12,""))</f>
        <v/>
      </c>
      <c r="J63" s="90"/>
      <c r="K63" s="83" t="e">
        <f ca="1">IF(IFERROR(MATCH("*Non-scientific*",OFFSET(Budget!#REF!,K62,0,ROWS(#REF!),1),0)+K62,999)&lt;ROWS(#REF!),IFERROR(MATCH("*Non-scientific*",OFFSET(Budget!#REF!,K62,0,ROWS(#REF!),1),0)+K62,999),"")</f>
        <v>#REF!</v>
      </c>
      <c r="L63" s="70" t="str">
        <f ca="1">IFERROR(INDEX(#REF!,K63),"")</f>
        <v/>
      </c>
      <c r="M63" s="113"/>
      <c r="N63" s="83" t="e">
        <f ca="1">IF(IFERROR(MATCH("*leave*",OFFSET(Budget!#REF!,N62,0,ROWS(#REF!),1),0)+N62,999)&lt;ROWS(#REF!),IFERROR(MATCH("*leave*",OFFSET(Budget!#REF!,N62,0,ROWS(#REF!),1),0)+N62,999),"")</f>
        <v>#REF!</v>
      </c>
      <c r="O63" s="88" t="str">
        <f ca="1">IFERROR(INDEX(#REF!,N63)*INDEX(#REF!,N63),"")</f>
        <v/>
      </c>
      <c r="P63" s="113"/>
      <c r="Q63" s="83" t="e">
        <f ca="1">IF(MIN(IFERROR(MATCH("*PostDoc*",OFFSET(Budget!#REF!,Q62,0,ROWS(#REF!)-Q62,1),0)+Q62,999),IFERROR(MATCH("*PhD*",OFFSET(Budget!#REF!,Q62,0,ROWS(#REF!)-Q62,1),0)+Q62,999),IFERROR(MATCH("*PDEng*",OFFSET(Budget!#REF!,Q62,0,ROWS(#REF!)-Q62,1),0)+Q62,999),IFERROR(MATCH("*Doctorate*",OFFSET(Budget!#REF!,Q62,0,ROWS(#REF!)-Q62,1),0)+Q62,999))&lt;ROWS(#REF!),MIN(IFERROR(MATCH("*PostDoc*",OFFSET(Budget!#REF!,Q62,0,ROWS(#REF!)-Q62,1),0)+Q62,999),IFERROR(MATCH("*PhD*",OFFSET(Budget!#REF!,Q62,0,ROWS(#REF!)-Q62,1),0)+Q62,999),IFERROR(MATCH("*PDEng*",OFFSET(Budget!#REF!,Q62,0,ROWS(#REF!)-Q62,1),0)+Q62,999),IFERROR(MATCH("*Doctorate*",OFFSET(Budget!#REF!,Q62,0,ROWS(#REF!)-Q62,1),0)+Q62,999)),"")</f>
        <v>#REF!</v>
      </c>
      <c r="R63" s="113" t="str">
        <f ca="1">IFERROR(INDEX(#REF!,Q63),"")</f>
        <v/>
      </c>
      <c r="S63" s="113" t="str">
        <f ca="1">IFERROR(INDEX(#REF!,Q63),"")</f>
        <v/>
      </c>
      <c r="T63" s="113" t="str">
        <f ca="1">IFERROR(INDEX(#REF!,Q63),"")</f>
        <v/>
      </c>
      <c r="U63" s="113" t="str">
        <f ca="1">SUBSTITUTE(IFERROR(INDEX(#REF!,Q63),""),0,"")</f>
        <v/>
      </c>
      <c r="V63" s="132" t="str">
        <f ca="1">SUBSTITUTE(IFERROR(INDEX(#REF!,Q63),""),0,"")</f>
        <v/>
      </c>
      <c r="W63" s="113"/>
      <c r="X63" s="133" t="e">
        <f>IF(ROW(E1600)-ROW($E$1548)&lt;ROWS(#REF!),IFERROR(IF(INDEX(list_cofunders[private?],MATCH(Budget!#REF!,list_cofunders[list cofunders],0),1)="yes",Budget!#REF!,""),""),"")</f>
        <v>#REF!</v>
      </c>
      <c r="Y63" s="134" t="e">
        <f>IF(ROW(E1703)-ROW($E$1651)&lt;ROWS(#REF!),IFERROR(IF(INDEX(list_cofunders[private?],MATCH(Budget!#REF!,list_cofunders[list cofunders],0),1)="yes",Budget!#REF!,""),""),"")</f>
        <v>#REF!</v>
      </c>
      <c r="Z63" s="113" t="str">
        <f>IFERROR(INDEX(#REF!,X63),"")</f>
        <v/>
      </c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CZ63" s="22"/>
      <c r="DA63" s="22"/>
      <c r="DB63" s="22"/>
      <c r="DC63" s="22"/>
      <c r="DD63" s="22"/>
      <c r="DE63" s="22"/>
      <c r="DF63" s="22"/>
      <c r="DG63" s="22"/>
      <c r="DH63" s="22"/>
    </row>
    <row r="64" spans="2:112" s="21" customFormat="1" ht="11.25" customHeight="1" outlineLevel="1" x14ac:dyDescent="0.35">
      <c r="B64" s="83" t="e">
        <f ca="1">IF(IFERROR(MATCH("*Other*",OFFSET(Budget!#REF!,B63,0,ROWS(#REF!),1),0)+B63,999)&lt;ROWS(#REF!),IFERROR(MATCH("*Other*",OFFSET(Budget!#REF!,B63,0,ROWS(#REF!),1),0)+B63,999),"")</f>
        <v>#REF!</v>
      </c>
      <c r="C64" s="70" t="str">
        <f ca="1">IFERROR(INDEX(#REF!,B64),"")</f>
        <v/>
      </c>
      <c r="E64" s="83" t="e">
        <f ca="1">IF(MIN(IFERROR(MATCH("*PostDoc*",OFFSET(Budget!#REF!,E63,0,ROWS(#REF!),1),0)+E63,999),IFERROR(MATCH("*PhD*",OFFSET(Budget!#REF!,E63,0,ROWS(#REF!),1),0)+E63,999),IFERROR(MATCH("*PDEng*",OFFSET(Budget!#REF!,E63,0,ROWS(#REF!),1),0)+E63,999))&lt;ROWS(#REF!),MIN(IFERROR(MATCH("*PostDoc*",OFFSET(Budget!#REF!,E63,0,ROWS(#REF!),1),0)+E63,999),IFERROR(MATCH("*PhD*",OFFSET(Budget!#REF!,E63,0,ROWS(#REF!),1),0)+E63,999),IFERROR(MATCH("*PDEng*",OFFSET(Budget!#REF!,E63,0,ROWS(#REF!),1),0)+E63,999)),"")</f>
        <v>#REF!</v>
      </c>
      <c r="F64" s="74" t="str">
        <f ca="1">IFERROR(INDEX(#REF!,E64)*INDEX(#REF!,E64)/12,"")</f>
        <v/>
      </c>
      <c r="G64" s="90"/>
      <c r="H64" s="83" t="e">
        <f ca="1">IF(IFERROR(MATCH("*researcher*",OFFSET(Budget!#REF!,H63,0,ROWS(#REF!),1),0)+H63,999)&lt;ROWS(#REF!),IFERROR(MATCH("*researcher*",OFFSET(Budget!#REF!,H63,0,ROWS(#REF!),1),0)+H63,999),"")</f>
        <v>#REF!</v>
      </c>
      <c r="I64" s="74" t="str">
        <f ca="1">IF(ISERROR(IF(AND(INDEX(#REF!,H64)&gt;=pers_oi_min_months,INDEX(#REF!,H64)/INDEX(#REF!,H64)*12/pers_other_nrhours_year&gt;=pers_oi_minFTE)=TRUE,INDEX(#REF!,H64)/12,0)),"",IF(AND(INDEX(#REF!,H64)&gt;=pers_oi_min_months,INDEX(#REF!,H64)/INDEX(#REF!,H64)*12/pers_other_nrhours_year&gt;=pers_oi_minFTE)=TRUE,INDEX(#REF!,H64)/12,""))</f>
        <v/>
      </c>
      <c r="J64" s="90"/>
      <c r="K64" s="83" t="e">
        <f ca="1">IF(IFERROR(MATCH("*Non-scientific*",OFFSET(Budget!#REF!,K63,0,ROWS(#REF!),1),0)+K63,999)&lt;ROWS(#REF!),IFERROR(MATCH("*Non-scientific*",OFFSET(Budget!#REF!,K63,0,ROWS(#REF!),1),0)+K63,999),"")</f>
        <v>#REF!</v>
      </c>
      <c r="L64" s="70" t="str">
        <f ca="1">IFERROR(INDEX(#REF!,K64),"")</f>
        <v/>
      </c>
      <c r="M64" s="113"/>
      <c r="N64" s="83" t="e">
        <f ca="1">IF(IFERROR(MATCH("*leave*",OFFSET(Budget!#REF!,N63,0,ROWS(#REF!),1),0)+N63,999)&lt;ROWS(#REF!),IFERROR(MATCH("*leave*",OFFSET(Budget!#REF!,N63,0,ROWS(#REF!),1),0)+N63,999),"")</f>
        <v>#REF!</v>
      </c>
      <c r="O64" s="88" t="str">
        <f ca="1">IFERROR(INDEX(#REF!,N64)*INDEX(#REF!,N64),"")</f>
        <v/>
      </c>
      <c r="P64" s="113"/>
      <c r="Q64" s="83" t="e">
        <f ca="1">IF(MIN(IFERROR(MATCH("*PostDoc*",OFFSET(Budget!#REF!,Q63,0,ROWS(#REF!)-Q63,1),0)+Q63,999),IFERROR(MATCH("*PhD*",OFFSET(Budget!#REF!,Q63,0,ROWS(#REF!)-Q63,1),0)+Q63,999),IFERROR(MATCH("*PDEng*",OFFSET(Budget!#REF!,Q63,0,ROWS(#REF!)-Q63,1),0)+Q63,999),IFERROR(MATCH("*Doctorate*",OFFSET(Budget!#REF!,Q63,0,ROWS(#REF!)-Q63,1),0)+Q63,999))&lt;ROWS(#REF!),MIN(IFERROR(MATCH("*PostDoc*",OFFSET(Budget!#REF!,Q63,0,ROWS(#REF!)-Q63,1),0)+Q63,999),IFERROR(MATCH("*PhD*",OFFSET(Budget!#REF!,Q63,0,ROWS(#REF!)-Q63,1),0)+Q63,999),IFERROR(MATCH("*PDEng*",OFFSET(Budget!#REF!,Q63,0,ROWS(#REF!)-Q63,1),0)+Q63,999),IFERROR(MATCH("*Doctorate*",OFFSET(Budget!#REF!,Q63,0,ROWS(#REF!)-Q63,1),0)+Q63,999)),"")</f>
        <v>#REF!</v>
      </c>
      <c r="R64" s="113" t="str">
        <f ca="1">IFERROR(INDEX(#REF!,Q64),"")</f>
        <v/>
      </c>
      <c r="S64" s="113" t="str">
        <f ca="1">IFERROR(INDEX(#REF!,Q64),"")</f>
        <v/>
      </c>
      <c r="T64" s="113" t="str">
        <f ca="1">IFERROR(INDEX(#REF!,Q64),"")</f>
        <v/>
      </c>
      <c r="U64" s="113" t="str">
        <f ca="1">SUBSTITUTE(IFERROR(INDEX(#REF!,Q64),""),0,"")</f>
        <v/>
      </c>
      <c r="V64" s="132" t="str">
        <f ca="1">SUBSTITUTE(IFERROR(INDEX(#REF!,Q64),""),0,"")</f>
        <v/>
      </c>
      <c r="W64" s="113"/>
      <c r="X64" s="133" t="e">
        <f>IF(ROW(E1601)-ROW($E$1548)&lt;ROWS(#REF!),IFERROR(IF(INDEX(list_cofunders[private?],MATCH(Budget!#REF!,list_cofunders[list cofunders],0),1)="yes",Budget!#REF!,""),""),"")</f>
        <v>#REF!</v>
      </c>
      <c r="Y64" s="134" t="e">
        <f>IF(ROW(E1704)-ROW($E$1651)&lt;ROWS(#REF!),IFERROR(IF(INDEX(list_cofunders[private?],MATCH(Budget!#REF!,list_cofunders[list cofunders],0),1)="yes",Budget!#REF!,""),""),"")</f>
        <v>#REF!</v>
      </c>
      <c r="Z64" s="113" t="str">
        <f>IFERROR(INDEX(#REF!,X64),"")</f>
        <v/>
      </c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CZ64" s="22"/>
      <c r="DA64" s="22"/>
      <c r="DB64" s="22"/>
      <c r="DC64" s="22"/>
      <c r="DD64" s="22"/>
      <c r="DE64" s="22"/>
      <c r="DF64" s="22"/>
      <c r="DG64" s="22"/>
      <c r="DH64" s="22"/>
    </row>
    <row r="65" spans="2:112" s="21" customFormat="1" ht="11.25" customHeight="1" outlineLevel="1" x14ac:dyDescent="0.35">
      <c r="B65" s="83" t="e">
        <f ca="1">IF(IFERROR(MATCH("*Other*",OFFSET(Budget!#REF!,B64,0,ROWS(#REF!),1),0)+B64,999)&lt;ROWS(#REF!),IFERROR(MATCH("*Other*",OFFSET(Budget!#REF!,B64,0,ROWS(#REF!),1),0)+B64,999),"")</f>
        <v>#REF!</v>
      </c>
      <c r="C65" s="70" t="str">
        <f ca="1">IFERROR(INDEX(#REF!,B65),"")</f>
        <v/>
      </c>
      <c r="E65" s="83" t="e">
        <f ca="1">IF(MIN(IFERROR(MATCH("*PostDoc*",OFFSET(Budget!#REF!,E64,0,ROWS(#REF!),1),0)+E64,999),IFERROR(MATCH("*PhD*",OFFSET(Budget!#REF!,E64,0,ROWS(#REF!),1),0)+E64,999),IFERROR(MATCH("*PDEng*",OFFSET(Budget!#REF!,E64,0,ROWS(#REF!),1),0)+E64,999))&lt;ROWS(#REF!),MIN(IFERROR(MATCH("*PostDoc*",OFFSET(Budget!#REF!,E64,0,ROWS(#REF!),1),0)+E64,999),IFERROR(MATCH("*PhD*",OFFSET(Budget!#REF!,E64,0,ROWS(#REF!),1),0)+E64,999),IFERROR(MATCH("*PDEng*",OFFSET(Budget!#REF!,E64,0,ROWS(#REF!),1),0)+E64,999)),"")</f>
        <v>#REF!</v>
      </c>
      <c r="F65" s="74" t="str">
        <f ca="1">IFERROR(INDEX(#REF!,E65)*INDEX(#REF!,E65)/12,"")</f>
        <v/>
      </c>
      <c r="G65" s="90"/>
      <c r="H65" s="83" t="e">
        <f ca="1">IF(IFERROR(MATCH("*researcher*",OFFSET(Budget!#REF!,H64,0,ROWS(#REF!),1),0)+H64,999)&lt;ROWS(#REF!),IFERROR(MATCH("*researcher*",OFFSET(Budget!#REF!,H64,0,ROWS(#REF!),1),0)+H64,999),"")</f>
        <v>#REF!</v>
      </c>
      <c r="I65" s="74" t="str">
        <f ca="1">IF(ISERROR(IF(AND(INDEX(#REF!,H65)&gt;=pers_oi_min_months,INDEX(#REF!,H65)/INDEX(#REF!,H65)*12/pers_other_nrhours_year&gt;=pers_oi_minFTE)=TRUE,INDEX(#REF!,H65)/12,0)),"",IF(AND(INDEX(#REF!,H65)&gt;=pers_oi_min_months,INDEX(#REF!,H65)/INDEX(#REF!,H65)*12/pers_other_nrhours_year&gt;=pers_oi_minFTE)=TRUE,INDEX(#REF!,H65)/12,""))</f>
        <v/>
      </c>
      <c r="J65" s="90"/>
      <c r="K65" s="83" t="e">
        <f ca="1">IF(IFERROR(MATCH("*Non-scientific*",OFFSET(Budget!#REF!,K64,0,ROWS(#REF!),1),0)+K64,999)&lt;ROWS(#REF!),IFERROR(MATCH("*Non-scientific*",OFFSET(Budget!#REF!,K64,0,ROWS(#REF!),1),0)+K64,999),"")</f>
        <v>#REF!</v>
      </c>
      <c r="L65" s="70" t="str">
        <f ca="1">IFERROR(INDEX(#REF!,K65),"")</f>
        <v/>
      </c>
      <c r="M65" s="113"/>
      <c r="N65" s="83" t="e">
        <f ca="1">IF(IFERROR(MATCH("*leave*",OFFSET(Budget!#REF!,N64,0,ROWS(#REF!),1),0)+N64,999)&lt;ROWS(#REF!),IFERROR(MATCH("*leave*",OFFSET(Budget!#REF!,N64,0,ROWS(#REF!),1),0)+N64,999),"")</f>
        <v>#REF!</v>
      </c>
      <c r="O65" s="88" t="str">
        <f ca="1">IFERROR(INDEX(#REF!,N65)*INDEX(#REF!,N65),"")</f>
        <v/>
      </c>
      <c r="P65" s="113"/>
      <c r="Q65" s="83" t="e">
        <f ca="1">IF(MIN(IFERROR(MATCH("*PostDoc*",OFFSET(Budget!#REF!,Q64,0,ROWS(#REF!)-Q64,1),0)+Q64,999),IFERROR(MATCH("*PhD*",OFFSET(Budget!#REF!,Q64,0,ROWS(#REF!)-Q64,1),0)+Q64,999),IFERROR(MATCH("*PDEng*",OFFSET(Budget!#REF!,Q64,0,ROWS(#REF!)-Q64,1),0)+Q64,999),IFERROR(MATCH("*Doctorate*",OFFSET(Budget!#REF!,Q64,0,ROWS(#REF!)-Q64,1),0)+Q64,999))&lt;ROWS(#REF!),MIN(IFERROR(MATCH("*PostDoc*",OFFSET(Budget!#REF!,Q64,0,ROWS(#REF!)-Q64,1),0)+Q64,999),IFERROR(MATCH("*PhD*",OFFSET(Budget!#REF!,Q64,0,ROWS(#REF!)-Q64,1),0)+Q64,999),IFERROR(MATCH("*PDEng*",OFFSET(Budget!#REF!,Q64,0,ROWS(#REF!)-Q64,1),0)+Q64,999),IFERROR(MATCH("*Doctorate*",OFFSET(Budget!#REF!,Q64,0,ROWS(#REF!)-Q64,1),0)+Q64,999)),"")</f>
        <v>#REF!</v>
      </c>
      <c r="R65" s="113" t="str">
        <f ca="1">IFERROR(INDEX(#REF!,Q65),"")</f>
        <v/>
      </c>
      <c r="S65" s="113" t="str">
        <f ca="1">IFERROR(INDEX(#REF!,Q65),"")</f>
        <v/>
      </c>
      <c r="T65" s="113" t="str">
        <f ca="1">IFERROR(INDEX(#REF!,Q65),"")</f>
        <v/>
      </c>
      <c r="U65" s="113" t="str">
        <f ca="1">SUBSTITUTE(IFERROR(INDEX(#REF!,Q65),""),0,"")</f>
        <v/>
      </c>
      <c r="V65" s="132" t="str">
        <f ca="1">SUBSTITUTE(IFERROR(INDEX(#REF!,Q65),""),0,"")</f>
        <v/>
      </c>
      <c r="W65" s="113"/>
      <c r="X65" s="133" t="e">
        <f>IF(ROW(E1602)-ROW($E$1548)&lt;ROWS(#REF!),IFERROR(IF(INDEX(list_cofunders[private?],MATCH(Budget!#REF!,list_cofunders[list cofunders],0),1)="yes",Budget!#REF!,""),""),"")</f>
        <v>#REF!</v>
      </c>
      <c r="Y65" s="134" t="e">
        <f>IF(ROW(E1705)-ROW($E$1651)&lt;ROWS(#REF!),IFERROR(IF(INDEX(list_cofunders[private?],MATCH(Budget!#REF!,list_cofunders[list cofunders],0),1)="yes",Budget!#REF!,""),""),"")</f>
        <v>#REF!</v>
      </c>
      <c r="Z65" s="113" t="str">
        <f>IFERROR(INDEX(#REF!,X65),"")</f>
        <v/>
      </c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CZ65" s="22"/>
      <c r="DA65" s="22"/>
      <c r="DB65" s="22"/>
      <c r="DC65" s="22"/>
      <c r="DD65" s="22"/>
      <c r="DE65" s="22"/>
      <c r="DF65" s="22"/>
      <c r="DG65" s="22"/>
      <c r="DH65" s="22"/>
    </row>
    <row r="66" spans="2:112" s="21" customFormat="1" ht="11.25" customHeight="1" outlineLevel="1" x14ac:dyDescent="0.35">
      <c r="B66" s="83" t="e">
        <f ca="1">IF(IFERROR(MATCH("*Other*",OFFSET(Budget!#REF!,B65,0,ROWS(#REF!),1),0)+B65,999)&lt;ROWS(#REF!),IFERROR(MATCH("*Other*",OFFSET(Budget!#REF!,B65,0,ROWS(#REF!),1),0)+B65,999),"")</f>
        <v>#REF!</v>
      </c>
      <c r="C66" s="70" t="str">
        <f ca="1">IFERROR(INDEX(#REF!,B66),"")</f>
        <v/>
      </c>
      <c r="E66" s="83" t="e">
        <f ca="1">IF(MIN(IFERROR(MATCH("*PostDoc*",OFFSET(Budget!#REF!,E65,0,ROWS(#REF!),1),0)+E65,999),IFERROR(MATCH("*PhD*",OFFSET(Budget!#REF!,E65,0,ROWS(#REF!),1),0)+E65,999),IFERROR(MATCH("*PDEng*",OFFSET(Budget!#REF!,E65,0,ROWS(#REF!),1),0)+E65,999))&lt;ROWS(#REF!),MIN(IFERROR(MATCH("*PostDoc*",OFFSET(Budget!#REF!,E65,0,ROWS(#REF!),1),0)+E65,999),IFERROR(MATCH("*PhD*",OFFSET(Budget!#REF!,E65,0,ROWS(#REF!),1),0)+E65,999),IFERROR(MATCH("*PDEng*",OFFSET(Budget!#REF!,E65,0,ROWS(#REF!),1),0)+E65,999)),"")</f>
        <v>#REF!</v>
      </c>
      <c r="F66" s="74" t="str">
        <f ca="1">IFERROR(INDEX(#REF!,E66)*INDEX(#REF!,E66)/12,"")</f>
        <v/>
      </c>
      <c r="G66" s="90"/>
      <c r="H66" s="83" t="e">
        <f ca="1">IF(IFERROR(MATCH("*researcher*",OFFSET(Budget!#REF!,H65,0,ROWS(#REF!),1),0)+H65,999)&lt;ROWS(#REF!),IFERROR(MATCH("*researcher*",OFFSET(Budget!#REF!,H65,0,ROWS(#REF!),1),0)+H65,999),"")</f>
        <v>#REF!</v>
      </c>
      <c r="I66" s="74" t="str">
        <f ca="1">IF(ISERROR(IF(AND(INDEX(#REF!,H66)&gt;=pers_oi_min_months,INDEX(#REF!,H66)/INDEX(#REF!,H66)*12/pers_other_nrhours_year&gt;=pers_oi_minFTE)=TRUE,INDEX(#REF!,H66)/12,0)),"",IF(AND(INDEX(#REF!,H66)&gt;=pers_oi_min_months,INDEX(#REF!,H66)/INDEX(#REF!,H66)*12/pers_other_nrhours_year&gt;=pers_oi_minFTE)=TRUE,INDEX(#REF!,H66)/12,""))</f>
        <v/>
      </c>
      <c r="J66" s="90"/>
      <c r="K66" s="83" t="e">
        <f ca="1">IF(IFERROR(MATCH("*Non-scientific*",OFFSET(Budget!#REF!,K65,0,ROWS(#REF!),1),0)+K65,999)&lt;ROWS(#REF!),IFERROR(MATCH("*Non-scientific*",OFFSET(Budget!#REF!,K65,0,ROWS(#REF!),1),0)+K65,999),"")</f>
        <v>#REF!</v>
      </c>
      <c r="L66" s="70" t="str">
        <f ca="1">IFERROR(INDEX(#REF!,K66),"")</f>
        <v/>
      </c>
      <c r="M66" s="113"/>
      <c r="N66" s="83" t="e">
        <f ca="1">IF(IFERROR(MATCH("*leave*",OFFSET(Budget!#REF!,N65,0,ROWS(#REF!),1),0)+N65,999)&lt;ROWS(#REF!),IFERROR(MATCH("*leave*",OFFSET(Budget!#REF!,N65,0,ROWS(#REF!),1),0)+N65,999),"")</f>
        <v>#REF!</v>
      </c>
      <c r="O66" s="88" t="str">
        <f ca="1">IFERROR(INDEX(#REF!,N66)*INDEX(#REF!,N66),"")</f>
        <v/>
      </c>
      <c r="P66" s="113"/>
      <c r="Q66" s="83" t="e">
        <f ca="1">IF(MIN(IFERROR(MATCH("*PostDoc*",OFFSET(Budget!#REF!,Q65,0,ROWS(#REF!)-Q65,1),0)+Q65,999),IFERROR(MATCH("*PhD*",OFFSET(Budget!#REF!,Q65,0,ROWS(#REF!)-Q65,1),0)+Q65,999),IFERROR(MATCH("*PDEng*",OFFSET(Budget!#REF!,Q65,0,ROWS(#REF!)-Q65,1),0)+Q65,999),IFERROR(MATCH("*Doctorate*",OFFSET(Budget!#REF!,Q65,0,ROWS(#REF!)-Q65,1),0)+Q65,999))&lt;ROWS(#REF!),MIN(IFERROR(MATCH("*PostDoc*",OFFSET(Budget!#REF!,Q65,0,ROWS(#REF!)-Q65,1),0)+Q65,999),IFERROR(MATCH("*PhD*",OFFSET(Budget!#REF!,Q65,0,ROWS(#REF!)-Q65,1),0)+Q65,999),IFERROR(MATCH("*PDEng*",OFFSET(Budget!#REF!,Q65,0,ROWS(#REF!)-Q65,1),0)+Q65,999),IFERROR(MATCH("*Doctorate*",OFFSET(Budget!#REF!,Q65,0,ROWS(#REF!)-Q65,1),0)+Q65,999)),"")</f>
        <v>#REF!</v>
      </c>
      <c r="R66" s="113" t="str">
        <f ca="1">IFERROR(INDEX(#REF!,Q66),"")</f>
        <v/>
      </c>
      <c r="S66" s="113" t="str">
        <f ca="1">IFERROR(INDEX(#REF!,Q66),"")</f>
        <v/>
      </c>
      <c r="T66" s="113" t="str">
        <f ca="1">IFERROR(INDEX(#REF!,Q66),"")</f>
        <v/>
      </c>
      <c r="U66" s="113" t="str">
        <f ca="1">SUBSTITUTE(IFERROR(INDEX(#REF!,Q66),""),0,"")</f>
        <v/>
      </c>
      <c r="V66" s="132" t="str">
        <f ca="1">SUBSTITUTE(IFERROR(INDEX(#REF!,Q66),""),0,"")</f>
        <v/>
      </c>
      <c r="W66" s="113"/>
      <c r="X66" s="133" t="e">
        <f>IF(ROW(E1603)-ROW($E$1548)&lt;ROWS(#REF!),IFERROR(IF(INDEX(list_cofunders[private?],MATCH(Budget!#REF!,list_cofunders[list cofunders],0),1)="yes",Budget!#REF!,""),""),"")</f>
        <v>#REF!</v>
      </c>
      <c r="Y66" s="134" t="e">
        <f>IF(ROW(E1706)-ROW($E$1651)&lt;ROWS(#REF!),IFERROR(IF(INDEX(list_cofunders[private?],MATCH(Budget!#REF!,list_cofunders[list cofunders],0),1)="yes",Budget!#REF!,""),""),"")</f>
        <v>#REF!</v>
      </c>
      <c r="Z66" s="113" t="str">
        <f>IFERROR(INDEX(#REF!,X66),"")</f>
        <v/>
      </c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CZ66" s="22"/>
      <c r="DA66" s="22"/>
      <c r="DB66" s="22"/>
      <c r="DC66" s="22"/>
      <c r="DD66" s="22"/>
      <c r="DE66" s="22"/>
      <c r="DF66" s="22"/>
      <c r="DG66" s="22"/>
      <c r="DH66" s="22"/>
    </row>
    <row r="67" spans="2:112" s="21" customFormat="1" ht="11.25" customHeight="1" outlineLevel="1" x14ac:dyDescent="0.35">
      <c r="B67" s="83" t="e">
        <f ca="1">IF(IFERROR(MATCH("*Other*",OFFSET(Budget!#REF!,B66,0,ROWS(#REF!),1),0)+B66,999)&lt;ROWS(#REF!),IFERROR(MATCH("*Other*",OFFSET(Budget!#REF!,B66,0,ROWS(#REF!),1),0)+B66,999),"")</f>
        <v>#REF!</v>
      </c>
      <c r="C67" s="70" t="str">
        <f ca="1">IFERROR(INDEX(#REF!,B67),"")</f>
        <v/>
      </c>
      <c r="E67" s="83" t="e">
        <f ca="1">IF(MIN(IFERROR(MATCH("*PostDoc*",OFFSET(Budget!#REF!,E66,0,ROWS(#REF!),1),0)+E66,999),IFERROR(MATCH("*PhD*",OFFSET(Budget!#REF!,E66,0,ROWS(#REF!),1),0)+E66,999),IFERROR(MATCH("*PDEng*",OFFSET(Budget!#REF!,E66,0,ROWS(#REF!),1),0)+E66,999))&lt;ROWS(#REF!),MIN(IFERROR(MATCH("*PostDoc*",OFFSET(Budget!#REF!,E66,0,ROWS(#REF!),1),0)+E66,999),IFERROR(MATCH("*PhD*",OFFSET(Budget!#REF!,E66,0,ROWS(#REF!),1),0)+E66,999),IFERROR(MATCH("*PDEng*",OFFSET(Budget!#REF!,E66,0,ROWS(#REF!),1),0)+E66,999)),"")</f>
        <v>#REF!</v>
      </c>
      <c r="F67" s="74" t="str">
        <f ca="1">IFERROR(INDEX(#REF!,E67)*INDEX(#REF!,E67)/12,"")</f>
        <v/>
      </c>
      <c r="G67" s="90"/>
      <c r="H67" s="83" t="e">
        <f ca="1">IF(IFERROR(MATCH("*researcher*",OFFSET(Budget!#REF!,H66,0,ROWS(#REF!),1),0)+H66,999)&lt;ROWS(#REF!),IFERROR(MATCH("*researcher*",OFFSET(Budget!#REF!,H66,0,ROWS(#REF!),1),0)+H66,999),"")</f>
        <v>#REF!</v>
      </c>
      <c r="I67" s="74" t="str">
        <f ca="1">IF(ISERROR(IF(AND(INDEX(#REF!,H67)&gt;=pers_oi_min_months,INDEX(#REF!,H67)/INDEX(#REF!,H67)*12/pers_other_nrhours_year&gt;=pers_oi_minFTE)=TRUE,INDEX(#REF!,H67)/12,0)),"",IF(AND(INDEX(#REF!,H67)&gt;=pers_oi_min_months,INDEX(#REF!,H67)/INDEX(#REF!,H67)*12/pers_other_nrhours_year&gt;=pers_oi_minFTE)=TRUE,INDEX(#REF!,H67)/12,""))</f>
        <v/>
      </c>
      <c r="J67" s="90"/>
      <c r="K67" s="83" t="e">
        <f ca="1">IF(IFERROR(MATCH("*Non-scientific*",OFFSET(Budget!#REF!,K66,0,ROWS(#REF!),1),0)+K66,999)&lt;ROWS(#REF!),IFERROR(MATCH("*Non-scientific*",OFFSET(Budget!#REF!,K66,0,ROWS(#REF!),1),0)+K66,999),"")</f>
        <v>#REF!</v>
      </c>
      <c r="L67" s="70" t="str">
        <f ca="1">IFERROR(INDEX(#REF!,K67),"")</f>
        <v/>
      </c>
      <c r="M67" s="113"/>
      <c r="N67" s="83" t="e">
        <f ca="1">IF(IFERROR(MATCH("*leave*",OFFSET(Budget!#REF!,N66,0,ROWS(#REF!),1),0)+N66,999)&lt;ROWS(#REF!),IFERROR(MATCH("*leave*",OFFSET(Budget!#REF!,N66,0,ROWS(#REF!),1),0)+N66,999),"")</f>
        <v>#REF!</v>
      </c>
      <c r="O67" s="88" t="str">
        <f ca="1">IFERROR(INDEX(#REF!,N67)*INDEX(#REF!,N67),"")</f>
        <v/>
      </c>
      <c r="P67" s="113"/>
      <c r="Q67" s="83" t="e">
        <f ca="1">IF(MIN(IFERROR(MATCH("*PostDoc*",OFFSET(Budget!#REF!,Q66,0,ROWS(#REF!)-Q66,1),0)+Q66,999),IFERROR(MATCH("*PhD*",OFFSET(Budget!#REF!,Q66,0,ROWS(#REF!)-Q66,1),0)+Q66,999),IFERROR(MATCH("*PDEng*",OFFSET(Budget!#REF!,Q66,0,ROWS(#REF!)-Q66,1),0)+Q66,999),IFERROR(MATCH("*Doctorate*",OFFSET(Budget!#REF!,Q66,0,ROWS(#REF!)-Q66,1),0)+Q66,999))&lt;ROWS(#REF!),MIN(IFERROR(MATCH("*PostDoc*",OFFSET(Budget!#REF!,Q66,0,ROWS(#REF!)-Q66,1),0)+Q66,999),IFERROR(MATCH("*PhD*",OFFSET(Budget!#REF!,Q66,0,ROWS(#REF!)-Q66,1),0)+Q66,999),IFERROR(MATCH("*PDEng*",OFFSET(Budget!#REF!,Q66,0,ROWS(#REF!)-Q66,1),0)+Q66,999),IFERROR(MATCH("*Doctorate*",OFFSET(Budget!#REF!,Q66,0,ROWS(#REF!)-Q66,1),0)+Q66,999)),"")</f>
        <v>#REF!</v>
      </c>
      <c r="R67" s="113" t="str">
        <f ca="1">IFERROR(INDEX(#REF!,Q67),"")</f>
        <v/>
      </c>
      <c r="S67" s="113" t="str">
        <f ca="1">IFERROR(INDEX(#REF!,Q67),"")</f>
        <v/>
      </c>
      <c r="T67" s="113" t="str">
        <f ca="1">IFERROR(INDEX(#REF!,Q67),"")</f>
        <v/>
      </c>
      <c r="U67" s="113" t="str">
        <f ca="1">SUBSTITUTE(IFERROR(INDEX(#REF!,Q67),""),0,"")</f>
        <v/>
      </c>
      <c r="V67" s="132" t="str">
        <f ca="1">SUBSTITUTE(IFERROR(INDEX(#REF!,Q67),""),0,"")</f>
        <v/>
      </c>
      <c r="W67" s="113"/>
      <c r="X67" s="133" t="e">
        <f>IF(ROW(E1604)-ROW($E$1548)&lt;ROWS(#REF!),IFERROR(IF(INDEX(list_cofunders[private?],MATCH(Budget!#REF!,list_cofunders[list cofunders],0),1)="yes",Budget!#REF!,""),""),"")</f>
        <v>#REF!</v>
      </c>
      <c r="Y67" s="134" t="e">
        <f>IF(ROW(E1707)-ROW($E$1651)&lt;ROWS(#REF!),IFERROR(IF(INDEX(list_cofunders[private?],MATCH(Budget!#REF!,list_cofunders[list cofunders],0),1)="yes",Budget!#REF!,""),""),"")</f>
        <v>#REF!</v>
      </c>
      <c r="Z67" s="113" t="str">
        <f>IFERROR(INDEX(#REF!,X67),"")</f>
        <v/>
      </c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CZ67" s="22"/>
      <c r="DA67" s="22"/>
      <c r="DB67" s="22"/>
      <c r="DC67" s="22"/>
      <c r="DD67" s="22"/>
      <c r="DE67" s="22"/>
      <c r="DF67" s="22"/>
      <c r="DG67" s="22"/>
      <c r="DH67" s="22"/>
    </row>
    <row r="68" spans="2:112" s="21" customFormat="1" ht="11.25" customHeight="1" outlineLevel="1" x14ac:dyDescent="0.35">
      <c r="B68" s="83" t="e">
        <f ca="1">IF(IFERROR(MATCH("*Other*",OFFSET(Budget!#REF!,B67,0,ROWS(#REF!),1),0)+B67,999)&lt;ROWS(#REF!),IFERROR(MATCH("*Other*",OFFSET(Budget!#REF!,B67,0,ROWS(#REF!),1),0)+B67,999),"")</f>
        <v>#REF!</v>
      </c>
      <c r="C68" s="70" t="str">
        <f ca="1">IFERROR(INDEX(#REF!,B68),"")</f>
        <v/>
      </c>
      <c r="E68" s="83" t="e">
        <f ca="1">IF(MIN(IFERROR(MATCH("*PostDoc*",OFFSET(Budget!#REF!,E67,0,ROWS(#REF!),1),0)+E67,999),IFERROR(MATCH("*PhD*",OFFSET(Budget!#REF!,E67,0,ROWS(#REF!),1),0)+E67,999),IFERROR(MATCH("*PDEng*",OFFSET(Budget!#REF!,E67,0,ROWS(#REF!),1),0)+E67,999))&lt;ROWS(#REF!),MIN(IFERROR(MATCH("*PostDoc*",OFFSET(Budget!#REF!,E67,0,ROWS(#REF!),1),0)+E67,999),IFERROR(MATCH("*PhD*",OFFSET(Budget!#REF!,E67,0,ROWS(#REF!),1),0)+E67,999),IFERROR(MATCH("*PDEng*",OFFSET(Budget!#REF!,E67,0,ROWS(#REF!),1),0)+E67,999)),"")</f>
        <v>#REF!</v>
      </c>
      <c r="F68" s="74" t="str">
        <f ca="1">IFERROR(INDEX(#REF!,E68)*INDEX(#REF!,E68)/12,"")</f>
        <v/>
      </c>
      <c r="G68" s="90"/>
      <c r="H68" s="83" t="e">
        <f ca="1">IF(IFERROR(MATCH("*researcher*",OFFSET(Budget!#REF!,H67,0,ROWS(#REF!),1),0)+H67,999)&lt;ROWS(#REF!),IFERROR(MATCH("*researcher*",OFFSET(Budget!#REF!,H67,0,ROWS(#REF!),1),0)+H67,999),"")</f>
        <v>#REF!</v>
      </c>
      <c r="I68" s="74" t="str">
        <f ca="1">IF(ISERROR(IF(AND(INDEX(#REF!,H68)&gt;=pers_oi_min_months,INDEX(#REF!,H68)/INDEX(#REF!,H68)*12/pers_other_nrhours_year&gt;=pers_oi_minFTE)=TRUE,INDEX(#REF!,H68)/12,0)),"",IF(AND(INDEX(#REF!,H68)&gt;=pers_oi_min_months,INDEX(#REF!,H68)/INDEX(#REF!,H68)*12/pers_other_nrhours_year&gt;=pers_oi_minFTE)=TRUE,INDEX(#REF!,H68)/12,""))</f>
        <v/>
      </c>
      <c r="J68" s="90"/>
      <c r="K68" s="83" t="e">
        <f ca="1">IF(IFERROR(MATCH("*Non-scientific*",OFFSET(Budget!#REF!,K67,0,ROWS(#REF!),1),0)+K67,999)&lt;ROWS(#REF!),IFERROR(MATCH("*Non-scientific*",OFFSET(Budget!#REF!,K67,0,ROWS(#REF!),1),0)+K67,999),"")</f>
        <v>#REF!</v>
      </c>
      <c r="L68" s="70" t="str">
        <f ca="1">IFERROR(INDEX(#REF!,K68),"")</f>
        <v/>
      </c>
      <c r="M68" s="113"/>
      <c r="N68" s="83" t="e">
        <f ca="1">IF(IFERROR(MATCH("*leave*",OFFSET(Budget!#REF!,N67,0,ROWS(#REF!),1),0)+N67,999)&lt;ROWS(#REF!),IFERROR(MATCH("*leave*",OFFSET(Budget!#REF!,N67,0,ROWS(#REF!),1),0)+N67,999),"")</f>
        <v>#REF!</v>
      </c>
      <c r="O68" s="88" t="str">
        <f ca="1">IFERROR(INDEX(#REF!,N68)*INDEX(#REF!,N68),"")</f>
        <v/>
      </c>
      <c r="P68" s="113"/>
      <c r="Q68" s="83" t="e">
        <f ca="1">IF(MIN(IFERROR(MATCH("*PostDoc*",OFFSET(Budget!#REF!,Q67,0,ROWS(#REF!)-Q67,1),0)+Q67,999),IFERROR(MATCH("*PhD*",OFFSET(Budget!#REF!,Q67,0,ROWS(#REF!)-Q67,1),0)+Q67,999),IFERROR(MATCH("*PDEng*",OFFSET(Budget!#REF!,Q67,0,ROWS(#REF!)-Q67,1),0)+Q67,999),IFERROR(MATCH("*Doctorate*",OFFSET(Budget!#REF!,Q67,0,ROWS(#REF!)-Q67,1),0)+Q67,999))&lt;ROWS(#REF!),MIN(IFERROR(MATCH("*PostDoc*",OFFSET(Budget!#REF!,Q67,0,ROWS(#REF!)-Q67,1),0)+Q67,999),IFERROR(MATCH("*PhD*",OFFSET(Budget!#REF!,Q67,0,ROWS(#REF!)-Q67,1),0)+Q67,999),IFERROR(MATCH("*PDEng*",OFFSET(Budget!#REF!,Q67,0,ROWS(#REF!)-Q67,1),0)+Q67,999),IFERROR(MATCH("*Doctorate*",OFFSET(Budget!#REF!,Q67,0,ROWS(#REF!)-Q67,1),0)+Q67,999)),"")</f>
        <v>#REF!</v>
      </c>
      <c r="R68" s="113" t="str">
        <f ca="1">IFERROR(INDEX(#REF!,Q68),"")</f>
        <v/>
      </c>
      <c r="S68" s="113" t="str">
        <f ca="1">IFERROR(INDEX(#REF!,Q68),"")</f>
        <v/>
      </c>
      <c r="T68" s="113" t="str">
        <f ca="1">IFERROR(INDEX(#REF!,Q68),"")</f>
        <v/>
      </c>
      <c r="U68" s="113" t="str">
        <f ca="1">SUBSTITUTE(IFERROR(INDEX(#REF!,Q68),""),0,"")</f>
        <v/>
      </c>
      <c r="V68" s="132" t="str">
        <f ca="1">SUBSTITUTE(IFERROR(INDEX(#REF!,Q68),""),0,"")</f>
        <v/>
      </c>
      <c r="W68" s="113"/>
      <c r="X68" s="133" t="e">
        <f>IF(ROW(E1605)-ROW($E$1548)&lt;ROWS(#REF!),IFERROR(IF(INDEX(list_cofunders[private?],MATCH(Budget!#REF!,list_cofunders[list cofunders],0),1)="yes",Budget!#REF!,""),""),"")</f>
        <v>#REF!</v>
      </c>
      <c r="Y68" s="134" t="e">
        <f>IF(ROW(E1708)-ROW($E$1651)&lt;ROWS(#REF!),IFERROR(IF(INDEX(list_cofunders[private?],MATCH(Budget!#REF!,list_cofunders[list cofunders],0),1)="yes",Budget!#REF!,""),""),"")</f>
        <v>#REF!</v>
      </c>
      <c r="Z68" s="113" t="str">
        <f>IFERROR(INDEX(#REF!,X68),"")</f>
        <v/>
      </c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CZ68" s="22"/>
      <c r="DA68" s="22"/>
      <c r="DB68" s="22"/>
      <c r="DC68" s="22"/>
      <c r="DD68" s="22"/>
      <c r="DE68" s="22"/>
      <c r="DF68" s="22"/>
      <c r="DG68" s="22"/>
      <c r="DH68" s="22"/>
    </row>
    <row r="69" spans="2:112" s="21" customFormat="1" ht="11.25" customHeight="1" outlineLevel="1" x14ac:dyDescent="0.35">
      <c r="B69" s="83" t="e">
        <f ca="1">IF(IFERROR(MATCH("*Other*",OFFSET(Budget!#REF!,B68,0,ROWS(#REF!),1),0)+B68,999)&lt;ROWS(#REF!),IFERROR(MATCH("*Other*",OFFSET(Budget!#REF!,B68,0,ROWS(#REF!),1),0)+B68,999),"")</f>
        <v>#REF!</v>
      </c>
      <c r="C69" s="70" t="str">
        <f ca="1">IFERROR(INDEX(#REF!,B69),"")</f>
        <v/>
      </c>
      <c r="E69" s="83" t="e">
        <f ca="1">IF(MIN(IFERROR(MATCH("*PostDoc*",OFFSET(Budget!#REF!,E68,0,ROWS(#REF!),1),0)+E68,999),IFERROR(MATCH("*PhD*",OFFSET(Budget!#REF!,E68,0,ROWS(#REF!),1),0)+E68,999),IFERROR(MATCH("*PDEng*",OFFSET(Budget!#REF!,E68,0,ROWS(#REF!),1),0)+E68,999))&lt;ROWS(#REF!),MIN(IFERROR(MATCH("*PostDoc*",OFFSET(Budget!#REF!,E68,0,ROWS(#REF!),1),0)+E68,999),IFERROR(MATCH("*PhD*",OFFSET(Budget!#REF!,E68,0,ROWS(#REF!),1),0)+E68,999),IFERROR(MATCH("*PDEng*",OFFSET(Budget!#REF!,E68,0,ROWS(#REF!),1),0)+E68,999)),"")</f>
        <v>#REF!</v>
      </c>
      <c r="F69" s="74" t="str">
        <f ca="1">IFERROR(INDEX(#REF!,E69)*INDEX(#REF!,E69)/12,"")</f>
        <v/>
      </c>
      <c r="G69" s="90"/>
      <c r="H69" s="83" t="e">
        <f ca="1">IF(IFERROR(MATCH("*researcher*",OFFSET(Budget!#REF!,H68,0,ROWS(#REF!),1),0)+H68,999)&lt;ROWS(#REF!),IFERROR(MATCH("*researcher*",OFFSET(Budget!#REF!,H68,0,ROWS(#REF!),1),0)+H68,999),"")</f>
        <v>#REF!</v>
      </c>
      <c r="I69" s="74" t="str">
        <f ca="1">IF(ISERROR(IF(AND(INDEX(#REF!,H69)&gt;=pers_oi_min_months,INDEX(#REF!,H69)/INDEX(#REF!,H69)*12/pers_other_nrhours_year&gt;=pers_oi_minFTE)=TRUE,INDEX(#REF!,H69)/12,0)),"",IF(AND(INDEX(#REF!,H69)&gt;=pers_oi_min_months,INDEX(#REF!,H69)/INDEX(#REF!,H69)*12/pers_other_nrhours_year&gt;=pers_oi_minFTE)=TRUE,INDEX(#REF!,H69)/12,""))</f>
        <v/>
      </c>
      <c r="J69" s="90"/>
      <c r="K69" s="83" t="e">
        <f ca="1">IF(IFERROR(MATCH("*Non-scientific*",OFFSET(Budget!#REF!,K68,0,ROWS(#REF!),1),0)+K68,999)&lt;ROWS(#REF!),IFERROR(MATCH("*Non-scientific*",OFFSET(Budget!#REF!,K68,0,ROWS(#REF!),1),0)+K68,999),"")</f>
        <v>#REF!</v>
      </c>
      <c r="L69" s="70" t="str">
        <f ca="1">IFERROR(INDEX(#REF!,K69),"")</f>
        <v/>
      </c>
      <c r="M69" s="113"/>
      <c r="N69" s="83" t="e">
        <f ca="1">IF(IFERROR(MATCH("*leave*",OFFSET(Budget!#REF!,N68,0,ROWS(#REF!),1),0)+N68,999)&lt;ROWS(#REF!),IFERROR(MATCH("*leave*",OFFSET(Budget!#REF!,N68,0,ROWS(#REF!),1),0)+N68,999),"")</f>
        <v>#REF!</v>
      </c>
      <c r="O69" s="88" t="str">
        <f ca="1">IFERROR(INDEX(#REF!,N69)*INDEX(#REF!,N69),"")</f>
        <v/>
      </c>
      <c r="P69" s="113"/>
      <c r="Q69" s="83" t="e">
        <f ca="1">IF(MIN(IFERROR(MATCH("*PostDoc*",OFFSET(Budget!#REF!,Q68,0,ROWS(#REF!)-Q68,1),0)+Q68,999),IFERROR(MATCH("*PhD*",OFFSET(Budget!#REF!,Q68,0,ROWS(#REF!)-Q68,1),0)+Q68,999),IFERROR(MATCH("*PDEng*",OFFSET(Budget!#REF!,Q68,0,ROWS(#REF!)-Q68,1),0)+Q68,999),IFERROR(MATCH("*Doctorate*",OFFSET(Budget!#REF!,Q68,0,ROWS(#REF!)-Q68,1),0)+Q68,999))&lt;ROWS(#REF!),MIN(IFERROR(MATCH("*PostDoc*",OFFSET(Budget!#REF!,Q68,0,ROWS(#REF!)-Q68,1),0)+Q68,999),IFERROR(MATCH("*PhD*",OFFSET(Budget!#REF!,Q68,0,ROWS(#REF!)-Q68,1),0)+Q68,999),IFERROR(MATCH("*PDEng*",OFFSET(Budget!#REF!,Q68,0,ROWS(#REF!)-Q68,1),0)+Q68,999),IFERROR(MATCH("*Doctorate*",OFFSET(Budget!#REF!,Q68,0,ROWS(#REF!)-Q68,1),0)+Q68,999)),"")</f>
        <v>#REF!</v>
      </c>
      <c r="R69" s="113" t="str">
        <f ca="1">IFERROR(INDEX(#REF!,Q69),"")</f>
        <v/>
      </c>
      <c r="S69" s="113" t="str">
        <f ca="1">IFERROR(INDEX(#REF!,Q69),"")</f>
        <v/>
      </c>
      <c r="T69" s="113" t="str">
        <f ca="1">IFERROR(INDEX(#REF!,Q69),"")</f>
        <v/>
      </c>
      <c r="U69" s="113" t="str">
        <f ca="1">SUBSTITUTE(IFERROR(INDEX(#REF!,Q69),""),0,"")</f>
        <v/>
      </c>
      <c r="V69" s="132" t="str">
        <f ca="1">SUBSTITUTE(IFERROR(INDEX(#REF!,Q69),""),0,"")</f>
        <v/>
      </c>
      <c r="W69" s="113"/>
      <c r="X69" s="133" t="e">
        <f>IF(ROW(E1606)-ROW($E$1548)&lt;ROWS(#REF!),IFERROR(IF(INDEX(list_cofunders[private?],MATCH(Budget!#REF!,list_cofunders[list cofunders],0),1)="yes",Budget!#REF!,""),""),"")</f>
        <v>#REF!</v>
      </c>
      <c r="Y69" s="134" t="e">
        <f>IF(ROW(E1709)-ROW($E$1651)&lt;ROWS(#REF!),IFERROR(IF(INDEX(list_cofunders[private?],MATCH(Budget!#REF!,list_cofunders[list cofunders],0),1)="yes",Budget!#REF!,""),""),"")</f>
        <v>#REF!</v>
      </c>
      <c r="Z69" s="113" t="str">
        <f>IFERROR(INDEX(#REF!,X69),"")</f>
        <v/>
      </c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CZ69" s="22"/>
      <c r="DA69" s="22"/>
      <c r="DB69" s="22"/>
      <c r="DC69" s="22"/>
      <c r="DD69" s="22"/>
      <c r="DE69" s="22"/>
      <c r="DF69" s="22"/>
      <c r="DG69" s="22"/>
      <c r="DH69" s="22"/>
    </row>
    <row r="70" spans="2:112" s="21" customFormat="1" ht="11.25" customHeight="1" outlineLevel="1" x14ac:dyDescent="0.35">
      <c r="B70" s="83" t="e">
        <f ca="1">IF(IFERROR(MATCH("*Other*",OFFSET(Budget!#REF!,B69,0,ROWS(#REF!),1),0)+B69,999)&lt;ROWS(#REF!),IFERROR(MATCH("*Other*",OFFSET(Budget!#REF!,B69,0,ROWS(#REF!),1),0)+B69,999),"")</f>
        <v>#REF!</v>
      </c>
      <c r="C70" s="70" t="str">
        <f ca="1">IFERROR(INDEX(#REF!,B70),"")</f>
        <v/>
      </c>
      <c r="E70" s="83" t="e">
        <f ca="1">IF(MIN(IFERROR(MATCH("*PostDoc*",OFFSET(Budget!#REF!,E69,0,ROWS(#REF!),1),0)+E69,999),IFERROR(MATCH("*PhD*",OFFSET(Budget!#REF!,E69,0,ROWS(#REF!),1),0)+E69,999),IFERROR(MATCH("*PDEng*",OFFSET(Budget!#REF!,E69,0,ROWS(#REF!),1),0)+E69,999))&lt;ROWS(#REF!),MIN(IFERROR(MATCH("*PostDoc*",OFFSET(Budget!#REF!,E69,0,ROWS(#REF!),1),0)+E69,999),IFERROR(MATCH("*PhD*",OFFSET(Budget!#REF!,E69,0,ROWS(#REF!),1),0)+E69,999),IFERROR(MATCH("*PDEng*",OFFSET(Budget!#REF!,E69,0,ROWS(#REF!),1),0)+E69,999)),"")</f>
        <v>#REF!</v>
      </c>
      <c r="F70" s="74" t="str">
        <f ca="1">IFERROR(INDEX(#REF!,E70)*INDEX(#REF!,E70)/12,"")</f>
        <v/>
      </c>
      <c r="G70" s="90"/>
      <c r="H70" s="83" t="e">
        <f ca="1">IF(IFERROR(MATCH("*researcher*",OFFSET(Budget!#REF!,H69,0,ROWS(#REF!),1),0)+H69,999)&lt;ROWS(#REF!),IFERROR(MATCH("*researcher*",OFFSET(Budget!#REF!,H69,0,ROWS(#REF!),1),0)+H69,999),"")</f>
        <v>#REF!</v>
      </c>
      <c r="I70" s="74" t="str">
        <f ca="1">IF(ISERROR(IF(AND(INDEX(#REF!,H70)&gt;=pers_oi_min_months,INDEX(#REF!,H70)/INDEX(#REF!,H70)*12/pers_other_nrhours_year&gt;=pers_oi_minFTE)=TRUE,INDEX(#REF!,H70)/12,0)),"",IF(AND(INDEX(#REF!,H70)&gt;=pers_oi_min_months,INDEX(#REF!,H70)/INDEX(#REF!,H70)*12/pers_other_nrhours_year&gt;=pers_oi_minFTE)=TRUE,INDEX(#REF!,H70)/12,""))</f>
        <v/>
      </c>
      <c r="J70" s="90"/>
      <c r="K70" s="83" t="e">
        <f ca="1">IF(IFERROR(MATCH("*Non-scientific*",OFFSET(Budget!#REF!,K69,0,ROWS(#REF!),1),0)+K69,999)&lt;ROWS(#REF!),IFERROR(MATCH("*Non-scientific*",OFFSET(Budget!#REF!,K69,0,ROWS(#REF!),1),0)+K69,999),"")</f>
        <v>#REF!</v>
      </c>
      <c r="L70" s="70" t="str">
        <f ca="1">IFERROR(INDEX(#REF!,K70),"")</f>
        <v/>
      </c>
      <c r="M70" s="113"/>
      <c r="N70" s="83" t="e">
        <f ca="1">IF(IFERROR(MATCH("*leave*",OFFSET(Budget!#REF!,N69,0,ROWS(#REF!),1),0)+N69,999)&lt;ROWS(#REF!),IFERROR(MATCH("*leave*",OFFSET(Budget!#REF!,N69,0,ROWS(#REF!),1),0)+N69,999),"")</f>
        <v>#REF!</v>
      </c>
      <c r="O70" s="88" t="str">
        <f ca="1">IFERROR(INDEX(#REF!,N70)*INDEX(#REF!,N70),"")</f>
        <v/>
      </c>
      <c r="P70" s="113"/>
      <c r="Q70" s="83" t="e">
        <f ca="1">IF(MIN(IFERROR(MATCH("*PostDoc*",OFFSET(Budget!#REF!,Q69,0,ROWS(#REF!)-Q69,1),0)+Q69,999),IFERROR(MATCH("*PhD*",OFFSET(Budget!#REF!,Q69,0,ROWS(#REF!)-Q69,1),0)+Q69,999),IFERROR(MATCH("*PDEng*",OFFSET(Budget!#REF!,Q69,0,ROWS(#REF!)-Q69,1),0)+Q69,999),IFERROR(MATCH("*Doctorate*",OFFSET(Budget!#REF!,Q69,0,ROWS(#REF!)-Q69,1),0)+Q69,999))&lt;ROWS(#REF!),MIN(IFERROR(MATCH("*PostDoc*",OFFSET(Budget!#REF!,Q69,0,ROWS(#REF!)-Q69,1),0)+Q69,999),IFERROR(MATCH("*PhD*",OFFSET(Budget!#REF!,Q69,0,ROWS(#REF!)-Q69,1),0)+Q69,999),IFERROR(MATCH("*PDEng*",OFFSET(Budget!#REF!,Q69,0,ROWS(#REF!)-Q69,1),0)+Q69,999),IFERROR(MATCH("*Doctorate*",OFFSET(Budget!#REF!,Q69,0,ROWS(#REF!)-Q69,1),0)+Q69,999)),"")</f>
        <v>#REF!</v>
      </c>
      <c r="R70" s="113" t="str">
        <f ca="1">IFERROR(INDEX(#REF!,Q70),"")</f>
        <v/>
      </c>
      <c r="S70" s="113" t="str">
        <f ca="1">IFERROR(INDEX(#REF!,Q70),"")</f>
        <v/>
      </c>
      <c r="T70" s="113" t="str">
        <f ca="1">IFERROR(INDEX(#REF!,Q70),"")</f>
        <v/>
      </c>
      <c r="U70" s="113" t="str">
        <f ca="1">SUBSTITUTE(IFERROR(INDEX(#REF!,Q70),""),0,"")</f>
        <v/>
      </c>
      <c r="V70" s="132" t="str">
        <f ca="1">SUBSTITUTE(IFERROR(INDEX(#REF!,Q70),""),0,"")</f>
        <v/>
      </c>
      <c r="W70" s="113"/>
      <c r="X70" s="133" t="e">
        <f>IF(ROW(E1607)-ROW($E$1548)&lt;ROWS(#REF!),IFERROR(IF(INDEX(list_cofunders[private?],MATCH(Budget!#REF!,list_cofunders[list cofunders],0),1)="yes",Budget!#REF!,""),""),"")</f>
        <v>#REF!</v>
      </c>
      <c r="Y70" s="134" t="e">
        <f>IF(ROW(E1710)-ROW($E$1651)&lt;ROWS(#REF!),IFERROR(IF(INDEX(list_cofunders[private?],MATCH(Budget!#REF!,list_cofunders[list cofunders],0),1)="yes",Budget!#REF!,""),""),"")</f>
        <v>#REF!</v>
      </c>
      <c r="Z70" s="113" t="str">
        <f>IFERROR(INDEX(#REF!,X70),"")</f>
        <v/>
      </c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CZ70" s="22"/>
      <c r="DA70" s="22"/>
      <c r="DB70" s="22"/>
      <c r="DC70" s="22"/>
      <c r="DD70" s="22"/>
      <c r="DE70" s="22"/>
      <c r="DF70" s="22"/>
      <c r="DG70" s="22"/>
      <c r="DH70" s="22"/>
    </row>
    <row r="71" spans="2:112" s="21" customFormat="1" ht="11.25" customHeight="1" outlineLevel="1" x14ac:dyDescent="0.35">
      <c r="B71" s="83" t="e">
        <f ca="1">IF(IFERROR(MATCH("*Other*",OFFSET(Budget!#REF!,B70,0,ROWS(#REF!),1),0)+B70,999)&lt;ROWS(#REF!),IFERROR(MATCH("*Other*",OFFSET(Budget!#REF!,B70,0,ROWS(#REF!),1),0)+B70,999),"")</f>
        <v>#REF!</v>
      </c>
      <c r="C71" s="70" t="str">
        <f ca="1">IFERROR(INDEX(#REF!,B71),"")</f>
        <v/>
      </c>
      <c r="E71" s="83" t="e">
        <f ca="1">IF(MIN(IFERROR(MATCH("*PostDoc*",OFFSET(Budget!#REF!,E70,0,ROWS(#REF!),1),0)+E70,999),IFERROR(MATCH("*PhD*",OFFSET(Budget!#REF!,E70,0,ROWS(#REF!),1),0)+E70,999),IFERROR(MATCH("*PDEng*",OFFSET(Budget!#REF!,E70,0,ROWS(#REF!),1),0)+E70,999))&lt;ROWS(#REF!),MIN(IFERROR(MATCH("*PostDoc*",OFFSET(Budget!#REF!,E70,0,ROWS(#REF!),1),0)+E70,999),IFERROR(MATCH("*PhD*",OFFSET(Budget!#REF!,E70,0,ROWS(#REF!),1),0)+E70,999),IFERROR(MATCH("*PDEng*",OFFSET(Budget!#REF!,E70,0,ROWS(#REF!),1),0)+E70,999)),"")</f>
        <v>#REF!</v>
      </c>
      <c r="F71" s="74" t="str">
        <f ca="1">IFERROR(INDEX(#REF!,E71)*INDEX(#REF!,E71)/12,"")</f>
        <v/>
      </c>
      <c r="G71" s="90"/>
      <c r="H71" s="83" t="e">
        <f ca="1">IF(IFERROR(MATCH("*researcher*",OFFSET(Budget!#REF!,H70,0,ROWS(#REF!),1),0)+H70,999)&lt;ROWS(#REF!),IFERROR(MATCH("*researcher*",OFFSET(Budget!#REF!,H70,0,ROWS(#REF!),1),0)+H70,999),"")</f>
        <v>#REF!</v>
      </c>
      <c r="I71" s="74" t="str">
        <f ca="1">IF(ISERROR(IF(AND(INDEX(#REF!,H71)&gt;=pers_oi_min_months,INDEX(#REF!,H71)/INDEX(#REF!,H71)*12/pers_other_nrhours_year&gt;=pers_oi_minFTE)=TRUE,INDEX(#REF!,H71)/12,0)),"",IF(AND(INDEX(#REF!,H71)&gt;=pers_oi_min_months,INDEX(#REF!,H71)/INDEX(#REF!,H71)*12/pers_other_nrhours_year&gt;=pers_oi_minFTE)=TRUE,INDEX(#REF!,H71)/12,""))</f>
        <v/>
      </c>
      <c r="J71" s="90"/>
      <c r="K71" s="83" t="e">
        <f ca="1">IF(IFERROR(MATCH("*Non-scientific*",OFFSET(Budget!#REF!,K70,0,ROWS(#REF!),1),0)+K70,999)&lt;ROWS(#REF!),IFERROR(MATCH("*Non-scientific*",OFFSET(Budget!#REF!,K70,0,ROWS(#REF!),1),0)+K70,999),"")</f>
        <v>#REF!</v>
      </c>
      <c r="L71" s="70" t="str">
        <f ca="1">IFERROR(INDEX(#REF!,K71),"")</f>
        <v/>
      </c>
      <c r="M71" s="113"/>
      <c r="N71" s="83" t="e">
        <f ca="1">IF(IFERROR(MATCH("*leave*",OFFSET(Budget!#REF!,N70,0,ROWS(#REF!),1),0)+N70,999)&lt;ROWS(#REF!),IFERROR(MATCH("*leave*",OFFSET(Budget!#REF!,N70,0,ROWS(#REF!),1),0)+N70,999),"")</f>
        <v>#REF!</v>
      </c>
      <c r="O71" s="88" t="str">
        <f ca="1">IFERROR(INDEX(#REF!,N71)*INDEX(#REF!,N71),"")</f>
        <v/>
      </c>
      <c r="P71" s="113"/>
      <c r="Q71" s="83" t="e">
        <f ca="1">IF(MIN(IFERROR(MATCH("*PostDoc*",OFFSET(Budget!#REF!,Q70,0,ROWS(#REF!)-Q70,1),0)+Q70,999),IFERROR(MATCH("*PhD*",OFFSET(Budget!#REF!,Q70,0,ROWS(#REF!)-Q70,1),0)+Q70,999),IFERROR(MATCH("*PDEng*",OFFSET(Budget!#REF!,Q70,0,ROWS(#REF!)-Q70,1),0)+Q70,999),IFERROR(MATCH("*Doctorate*",OFFSET(Budget!#REF!,Q70,0,ROWS(#REF!)-Q70,1),0)+Q70,999))&lt;ROWS(#REF!),MIN(IFERROR(MATCH("*PostDoc*",OFFSET(Budget!#REF!,Q70,0,ROWS(#REF!)-Q70,1),0)+Q70,999),IFERROR(MATCH("*PhD*",OFFSET(Budget!#REF!,Q70,0,ROWS(#REF!)-Q70,1),0)+Q70,999),IFERROR(MATCH("*PDEng*",OFFSET(Budget!#REF!,Q70,0,ROWS(#REF!)-Q70,1),0)+Q70,999),IFERROR(MATCH("*Doctorate*",OFFSET(Budget!#REF!,Q70,0,ROWS(#REF!)-Q70,1),0)+Q70,999)),"")</f>
        <v>#REF!</v>
      </c>
      <c r="R71" s="113" t="str">
        <f ca="1">IFERROR(INDEX(#REF!,Q71),"")</f>
        <v/>
      </c>
      <c r="S71" s="113" t="str">
        <f ca="1">IFERROR(INDEX(#REF!,Q71),"")</f>
        <v/>
      </c>
      <c r="T71" s="113" t="str">
        <f ca="1">IFERROR(INDEX(#REF!,Q71),"")</f>
        <v/>
      </c>
      <c r="U71" s="113" t="str">
        <f ca="1">SUBSTITUTE(IFERROR(INDEX(#REF!,Q71),""),0,"")</f>
        <v/>
      </c>
      <c r="V71" s="132" t="str">
        <f ca="1">SUBSTITUTE(IFERROR(INDEX(#REF!,Q71),""),0,"")</f>
        <v/>
      </c>
      <c r="W71" s="113"/>
      <c r="X71" s="133" t="e">
        <f>IF(ROW(E1608)-ROW($E$1548)&lt;ROWS(#REF!),IFERROR(IF(INDEX(list_cofunders[private?],MATCH(Budget!#REF!,list_cofunders[list cofunders],0),1)="yes",Budget!#REF!,""),""),"")</f>
        <v>#REF!</v>
      </c>
      <c r="Y71" s="134" t="e">
        <f>IF(ROW(E1711)-ROW($E$1651)&lt;ROWS(#REF!),IFERROR(IF(INDEX(list_cofunders[private?],MATCH(Budget!#REF!,list_cofunders[list cofunders],0),1)="yes",Budget!#REF!,""),""),"")</f>
        <v>#REF!</v>
      </c>
      <c r="Z71" s="113" t="str">
        <f>IFERROR(INDEX(#REF!,X71),"")</f>
        <v/>
      </c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CZ71" s="22"/>
      <c r="DA71" s="22"/>
      <c r="DB71" s="22"/>
      <c r="DC71" s="22"/>
      <c r="DD71" s="22"/>
      <c r="DE71" s="22"/>
      <c r="DF71" s="22"/>
      <c r="DG71" s="22"/>
      <c r="DH71" s="22"/>
    </row>
    <row r="72" spans="2:112" s="21" customFormat="1" ht="11.25" customHeight="1" outlineLevel="1" x14ac:dyDescent="0.35">
      <c r="B72" s="83" t="e">
        <f ca="1">IF(IFERROR(MATCH("*Other*",OFFSET(Budget!#REF!,B71,0,ROWS(#REF!),1),0)+B71,999)&lt;ROWS(#REF!),IFERROR(MATCH("*Other*",OFFSET(Budget!#REF!,B71,0,ROWS(#REF!),1),0)+B71,999),"")</f>
        <v>#REF!</v>
      </c>
      <c r="C72" s="70" t="str">
        <f ca="1">IFERROR(INDEX(#REF!,B72),"")</f>
        <v/>
      </c>
      <c r="E72" s="83" t="e">
        <f ca="1">IF(MIN(IFERROR(MATCH("*PostDoc*",OFFSET(Budget!#REF!,E71,0,ROWS(#REF!),1),0)+E71,999),IFERROR(MATCH("*PhD*",OFFSET(Budget!#REF!,E71,0,ROWS(#REF!),1),0)+E71,999),IFERROR(MATCH("*PDEng*",OFFSET(Budget!#REF!,E71,0,ROWS(#REF!),1),0)+E71,999))&lt;ROWS(#REF!),MIN(IFERROR(MATCH("*PostDoc*",OFFSET(Budget!#REF!,E71,0,ROWS(#REF!),1),0)+E71,999),IFERROR(MATCH("*PhD*",OFFSET(Budget!#REF!,E71,0,ROWS(#REF!),1),0)+E71,999),IFERROR(MATCH("*PDEng*",OFFSET(Budget!#REF!,E71,0,ROWS(#REF!),1),0)+E71,999)),"")</f>
        <v>#REF!</v>
      </c>
      <c r="F72" s="74" t="str">
        <f ca="1">IFERROR(INDEX(#REF!,E72)*INDEX(#REF!,E72)/12,"")</f>
        <v/>
      </c>
      <c r="G72" s="90"/>
      <c r="H72" s="83" t="e">
        <f ca="1">IF(IFERROR(MATCH("*researcher*",OFFSET(Budget!#REF!,H71,0,ROWS(#REF!),1),0)+H71,999)&lt;ROWS(#REF!),IFERROR(MATCH("*researcher*",OFFSET(Budget!#REF!,H71,0,ROWS(#REF!),1),0)+H71,999),"")</f>
        <v>#REF!</v>
      </c>
      <c r="I72" s="74" t="str">
        <f ca="1">IF(ISERROR(IF(AND(INDEX(#REF!,H72)&gt;=pers_oi_min_months,INDEX(#REF!,H72)/INDEX(#REF!,H72)*12/pers_other_nrhours_year&gt;=pers_oi_minFTE)=TRUE,INDEX(#REF!,H72)/12,0)),"",IF(AND(INDEX(#REF!,H72)&gt;=pers_oi_min_months,INDEX(#REF!,H72)/INDEX(#REF!,H72)*12/pers_other_nrhours_year&gt;=pers_oi_minFTE)=TRUE,INDEX(#REF!,H72)/12,""))</f>
        <v/>
      </c>
      <c r="J72" s="90"/>
      <c r="K72" s="83" t="e">
        <f ca="1">IF(IFERROR(MATCH("*Non-scientific*",OFFSET(Budget!#REF!,K71,0,ROWS(#REF!),1),0)+K71,999)&lt;ROWS(#REF!),IFERROR(MATCH("*Non-scientific*",OFFSET(Budget!#REF!,K71,0,ROWS(#REF!),1),0)+K71,999),"")</f>
        <v>#REF!</v>
      </c>
      <c r="L72" s="70" t="str">
        <f ca="1">IFERROR(INDEX(#REF!,K72),"")</f>
        <v/>
      </c>
      <c r="M72" s="113"/>
      <c r="N72" s="83" t="e">
        <f ca="1">IF(IFERROR(MATCH("*leave*",OFFSET(Budget!#REF!,N71,0,ROWS(#REF!),1),0)+N71,999)&lt;ROWS(#REF!),IFERROR(MATCH("*leave*",OFFSET(Budget!#REF!,N71,0,ROWS(#REF!),1),0)+N71,999),"")</f>
        <v>#REF!</v>
      </c>
      <c r="O72" s="88" t="str">
        <f ca="1">IFERROR(INDEX(#REF!,N72)*INDEX(#REF!,N72),"")</f>
        <v/>
      </c>
      <c r="P72" s="113"/>
      <c r="Q72" s="83" t="e">
        <f ca="1">IF(MIN(IFERROR(MATCH("*PostDoc*",OFFSET(Budget!#REF!,Q71,0,ROWS(#REF!)-Q71,1),0)+Q71,999),IFERROR(MATCH("*PhD*",OFFSET(Budget!#REF!,Q71,0,ROWS(#REF!)-Q71,1),0)+Q71,999),IFERROR(MATCH("*PDEng*",OFFSET(Budget!#REF!,Q71,0,ROWS(#REF!)-Q71,1),0)+Q71,999),IFERROR(MATCH("*Doctorate*",OFFSET(Budget!#REF!,Q71,0,ROWS(#REF!)-Q71,1),0)+Q71,999))&lt;ROWS(#REF!),MIN(IFERROR(MATCH("*PostDoc*",OFFSET(Budget!#REF!,Q71,0,ROWS(#REF!)-Q71,1),0)+Q71,999),IFERROR(MATCH("*PhD*",OFFSET(Budget!#REF!,Q71,0,ROWS(#REF!)-Q71,1),0)+Q71,999),IFERROR(MATCH("*PDEng*",OFFSET(Budget!#REF!,Q71,0,ROWS(#REF!)-Q71,1),0)+Q71,999),IFERROR(MATCH("*Doctorate*",OFFSET(Budget!#REF!,Q71,0,ROWS(#REF!)-Q71,1),0)+Q71,999)),"")</f>
        <v>#REF!</v>
      </c>
      <c r="R72" s="113" t="str">
        <f ca="1">IFERROR(INDEX(#REF!,Q72),"")</f>
        <v/>
      </c>
      <c r="S72" s="113" t="str">
        <f ca="1">IFERROR(INDEX(#REF!,Q72),"")</f>
        <v/>
      </c>
      <c r="T72" s="113" t="str">
        <f ca="1">IFERROR(INDEX(#REF!,Q72),"")</f>
        <v/>
      </c>
      <c r="U72" s="113" t="str">
        <f ca="1">SUBSTITUTE(IFERROR(INDEX(#REF!,Q72),""),0,"")</f>
        <v/>
      </c>
      <c r="V72" s="132" t="str">
        <f ca="1">SUBSTITUTE(IFERROR(INDEX(#REF!,Q72),""),0,"")</f>
        <v/>
      </c>
      <c r="W72" s="113"/>
      <c r="X72" s="133" t="e">
        <f>IF(ROW(E1609)-ROW($E$1548)&lt;ROWS(#REF!),IFERROR(IF(INDEX(list_cofunders[private?],MATCH(Budget!#REF!,list_cofunders[list cofunders],0),1)="yes",Budget!#REF!,""),""),"")</f>
        <v>#REF!</v>
      </c>
      <c r="Y72" s="134" t="e">
        <f>IF(ROW(E1712)-ROW($E$1651)&lt;ROWS(#REF!),IFERROR(IF(INDEX(list_cofunders[private?],MATCH(Budget!#REF!,list_cofunders[list cofunders],0),1)="yes",Budget!#REF!,""),""),"")</f>
        <v>#REF!</v>
      </c>
      <c r="Z72" s="113" t="str">
        <f>IFERROR(INDEX(#REF!,X72),"")</f>
        <v/>
      </c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CZ72" s="22"/>
      <c r="DA72" s="22"/>
      <c r="DB72" s="22"/>
      <c r="DC72" s="22"/>
      <c r="DD72" s="22"/>
      <c r="DE72" s="22"/>
      <c r="DF72" s="22"/>
      <c r="DG72" s="22"/>
      <c r="DH72" s="22"/>
    </row>
    <row r="73" spans="2:112" s="21" customFormat="1" ht="11.25" customHeight="1" outlineLevel="1" x14ac:dyDescent="0.35">
      <c r="B73" s="83" t="e">
        <f ca="1">IF(IFERROR(MATCH("*Other*",OFFSET(Budget!#REF!,B72,0,ROWS(#REF!),1),0)+B72,999)&lt;ROWS(#REF!),IFERROR(MATCH("*Other*",OFFSET(Budget!#REF!,B72,0,ROWS(#REF!),1),0)+B72,999),"")</f>
        <v>#REF!</v>
      </c>
      <c r="C73" s="70" t="str">
        <f ca="1">IFERROR(INDEX(#REF!,B73),"")</f>
        <v/>
      </c>
      <c r="E73" s="83" t="e">
        <f ca="1">IF(MIN(IFERROR(MATCH("*PostDoc*",OFFSET(Budget!#REF!,E72,0,ROWS(#REF!),1),0)+E72,999),IFERROR(MATCH("*PhD*",OFFSET(Budget!#REF!,E72,0,ROWS(#REF!),1),0)+E72,999),IFERROR(MATCH("*PDEng*",OFFSET(Budget!#REF!,E72,0,ROWS(#REF!),1),0)+E72,999))&lt;ROWS(#REF!),MIN(IFERROR(MATCH("*PostDoc*",OFFSET(Budget!#REF!,E72,0,ROWS(#REF!),1),0)+E72,999),IFERROR(MATCH("*PhD*",OFFSET(Budget!#REF!,E72,0,ROWS(#REF!),1),0)+E72,999),IFERROR(MATCH("*PDEng*",OFFSET(Budget!#REF!,E72,0,ROWS(#REF!),1),0)+E72,999)),"")</f>
        <v>#REF!</v>
      </c>
      <c r="F73" s="74" t="str">
        <f ca="1">IFERROR(INDEX(#REF!,E73)*INDEX(#REF!,E73)/12,"")</f>
        <v/>
      </c>
      <c r="G73" s="90"/>
      <c r="H73" s="83" t="e">
        <f ca="1">IF(IFERROR(MATCH("*researcher*",OFFSET(Budget!#REF!,H72,0,ROWS(#REF!),1),0)+H72,999)&lt;ROWS(#REF!),IFERROR(MATCH("*researcher*",OFFSET(Budget!#REF!,H72,0,ROWS(#REF!),1),0)+H72,999),"")</f>
        <v>#REF!</v>
      </c>
      <c r="I73" s="74" t="str">
        <f ca="1">IF(ISERROR(IF(AND(INDEX(#REF!,H73)&gt;=pers_oi_min_months,INDEX(#REF!,H73)/INDEX(#REF!,H73)*12/pers_other_nrhours_year&gt;=pers_oi_minFTE)=TRUE,INDEX(#REF!,H73)/12,0)),"",IF(AND(INDEX(#REF!,H73)&gt;=pers_oi_min_months,INDEX(#REF!,H73)/INDEX(#REF!,H73)*12/pers_other_nrhours_year&gt;=pers_oi_minFTE)=TRUE,INDEX(#REF!,H73)/12,""))</f>
        <v/>
      </c>
      <c r="J73" s="90"/>
      <c r="K73" s="83" t="e">
        <f ca="1">IF(IFERROR(MATCH("*Non-scientific*",OFFSET(Budget!#REF!,K72,0,ROWS(#REF!),1),0)+K72,999)&lt;ROWS(#REF!),IFERROR(MATCH("*Non-scientific*",OFFSET(Budget!#REF!,K72,0,ROWS(#REF!),1),0)+K72,999),"")</f>
        <v>#REF!</v>
      </c>
      <c r="L73" s="70" t="str">
        <f ca="1">IFERROR(INDEX(#REF!,K73),"")</f>
        <v/>
      </c>
      <c r="M73" s="113"/>
      <c r="N73" s="83" t="e">
        <f ca="1">IF(IFERROR(MATCH("*leave*",OFFSET(Budget!#REF!,N72,0,ROWS(#REF!),1),0)+N72,999)&lt;ROWS(#REF!),IFERROR(MATCH("*leave*",OFFSET(Budget!#REF!,N72,0,ROWS(#REF!),1),0)+N72,999),"")</f>
        <v>#REF!</v>
      </c>
      <c r="O73" s="88" t="str">
        <f ca="1">IFERROR(INDEX(#REF!,N73)*INDEX(#REF!,N73),"")</f>
        <v/>
      </c>
      <c r="P73" s="113"/>
      <c r="Q73" s="83" t="e">
        <f ca="1">IF(MIN(IFERROR(MATCH("*PostDoc*",OFFSET(Budget!#REF!,Q72,0,ROWS(#REF!)-Q72,1),0)+Q72,999),IFERROR(MATCH("*PhD*",OFFSET(Budget!#REF!,Q72,0,ROWS(#REF!)-Q72,1),0)+Q72,999),IFERROR(MATCH("*PDEng*",OFFSET(Budget!#REF!,Q72,0,ROWS(#REF!)-Q72,1),0)+Q72,999),IFERROR(MATCH("*Doctorate*",OFFSET(Budget!#REF!,Q72,0,ROWS(#REF!)-Q72,1),0)+Q72,999))&lt;ROWS(#REF!),MIN(IFERROR(MATCH("*PostDoc*",OFFSET(Budget!#REF!,Q72,0,ROWS(#REF!)-Q72,1),0)+Q72,999),IFERROR(MATCH("*PhD*",OFFSET(Budget!#REF!,Q72,0,ROWS(#REF!)-Q72,1),0)+Q72,999),IFERROR(MATCH("*PDEng*",OFFSET(Budget!#REF!,Q72,0,ROWS(#REF!)-Q72,1),0)+Q72,999),IFERROR(MATCH("*Doctorate*",OFFSET(Budget!#REF!,Q72,0,ROWS(#REF!)-Q72,1),0)+Q72,999)),"")</f>
        <v>#REF!</v>
      </c>
      <c r="R73" s="113" t="str">
        <f ca="1">IFERROR(INDEX(#REF!,Q73),"")</f>
        <v/>
      </c>
      <c r="S73" s="113" t="str">
        <f ca="1">IFERROR(INDEX(#REF!,Q73),"")</f>
        <v/>
      </c>
      <c r="T73" s="113" t="str">
        <f ca="1">IFERROR(INDEX(#REF!,Q73),"")</f>
        <v/>
      </c>
      <c r="U73" s="113" t="str">
        <f ca="1">SUBSTITUTE(IFERROR(INDEX(#REF!,Q73),""),0,"")</f>
        <v/>
      </c>
      <c r="V73" s="132" t="str">
        <f ca="1">SUBSTITUTE(IFERROR(INDEX(#REF!,Q73),""),0,"")</f>
        <v/>
      </c>
      <c r="W73" s="113"/>
      <c r="X73" s="133" t="e">
        <f>IF(ROW(E1610)-ROW($E$1548)&lt;ROWS(#REF!),IFERROR(IF(INDEX(list_cofunders[private?],MATCH(Budget!#REF!,list_cofunders[list cofunders],0),1)="yes",Budget!#REF!,""),""),"")</f>
        <v>#REF!</v>
      </c>
      <c r="Y73" s="134" t="e">
        <f>IF(ROW(E1713)-ROW($E$1651)&lt;ROWS(#REF!),IFERROR(IF(INDEX(list_cofunders[private?],MATCH(Budget!#REF!,list_cofunders[list cofunders],0),1)="yes",Budget!#REF!,""),""),"")</f>
        <v>#REF!</v>
      </c>
      <c r="Z73" s="113" t="str">
        <f>IFERROR(INDEX(#REF!,X73),"")</f>
        <v/>
      </c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CZ73" s="22"/>
      <c r="DA73" s="22"/>
      <c r="DB73" s="22"/>
      <c r="DC73" s="22"/>
      <c r="DD73" s="22"/>
      <c r="DE73" s="22"/>
      <c r="DF73" s="22"/>
      <c r="DG73" s="22"/>
      <c r="DH73" s="22"/>
    </row>
    <row r="74" spans="2:112" s="21" customFormat="1" ht="11.25" customHeight="1" outlineLevel="1" x14ac:dyDescent="0.35">
      <c r="B74" s="83" t="e">
        <f ca="1">IF(IFERROR(MATCH("*Other*",OFFSET(Budget!#REF!,B73,0,ROWS(#REF!),1),0)+B73,999)&lt;ROWS(#REF!),IFERROR(MATCH("*Other*",OFFSET(Budget!#REF!,B73,0,ROWS(#REF!),1),0)+B73,999),"")</f>
        <v>#REF!</v>
      </c>
      <c r="C74" s="70" t="str">
        <f ca="1">IFERROR(INDEX(#REF!,B74),"")</f>
        <v/>
      </c>
      <c r="E74" s="83" t="e">
        <f ca="1">IF(MIN(IFERROR(MATCH("*PostDoc*",OFFSET(Budget!#REF!,E73,0,ROWS(#REF!),1),0)+E73,999),IFERROR(MATCH("*PhD*",OFFSET(Budget!#REF!,E73,0,ROWS(#REF!),1),0)+E73,999),IFERROR(MATCH("*PDEng*",OFFSET(Budget!#REF!,E73,0,ROWS(#REF!),1),0)+E73,999))&lt;ROWS(#REF!),MIN(IFERROR(MATCH("*PostDoc*",OFFSET(Budget!#REF!,E73,0,ROWS(#REF!),1),0)+E73,999),IFERROR(MATCH("*PhD*",OFFSET(Budget!#REF!,E73,0,ROWS(#REF!),1),0)+E73,999),IFERROR(MATCH("*PDEng*",OFFSET(Budget!#REF!,E73,0,ROWS(#REF!),1),0)+E73,999)),"")</f>
        <v>#REF!</v>
      </c>
      <c r="F74" s="74" t="str">
        <f ca="1">IFERROR(INDEX(#REF!,E74)*INDEX(#REF!,E74)/12,"")</f>
        <v/>
      </c>
      <c r="G74" s="90"/>
      <c r="H74" s="83" t="e">
        <f ca="1">IF(IFERROR(MATCH("*researcher*",OFFSET(Budget!#REF!,H73,0,ROWS(#REF!),1),0)+H73,999)&lt;ROWS(#REF!),IFERROR(MATCH("*researcher*",OFFSET(Budget!#REF!,H73,0,ROWS(#REF!),1),0)+H73,999),"")</f>
        <v>#REF!</v>
      </c>
      <c r="I74" s="74" t="str">
        <f ca="1">IF(ISERROR(IF(AND(INDEX(#REF!,H74)&gt;=pers_oi_min_months,INDEX(#REF!,H74)/INDEX(#REF!,H74)*12/pers_other_nrhours_year&gt;=pers_oi_minFTE)=TRUE,INDEX(#REF!,H74)/12,0)),"",IF(AND(INDEX(#REF!,H74)&gt;=pers_oi_min_months,INDEX(#REF!,H74)/INDEX(#REF!,H74)*12/pers_other_nrhours_year&gt;=pers_oi_minFTE)=TRUE,INDEX(#REF!,H74)/12,""))</f>
        <v/>
      </c>
      <c r="J74" s="90"/>
      <c r="K74" s="83" t="e">
        <f ca="1">IF(IFERROR(MATCH("*Non-scientific*",OFFSET(Budget!#REF!,K73,0,ROWS(#REF!),1),0)+K73,999)&lt;ROWS(#REF!),IFERROR(MATCH("*Non-scientific*",OFFSET(Budget!#REF!,K73,0,ROWS(#REF!),1),0)+K73,999),"")</f>
        <v>#REF!</v>
      </c>
      <c r="L74" s="70" t="str">
        <f ca="1">IFERROR(INDEX(#REF!,K74),"")</f>
        <v/>
      </c>
      <c r="M74" s="113"/>
      <c r="N74" s="83" t="e">
        <f ca="1">IF(IFERROR(MATCH("*leave*",OFFSET(Budget!#REF!,N73,0,ROWS(#REF!),1),0)+N73,999)&lt;ROWS(#REF!),IFERROR(MATCH("*leave*",OFFSET(Budget!#REF!,N73,0,ROWS(#REF!),1),0)+N73,999),"")</f>
        <v>#REF!</v>
      </c>
      <c r="O74" s="88" t="str">
        <f ca="1">IFERROR(INDEX(#REF!,N74)*INDEX(#REF!,N74),"")</f>
        <v/>
      </c>
      <c r="P74" s="113"/>
      <c r="Q74" s="83" t="e">
        <f ca="1">IF(MIN(IFERROR(MATCH("*PostDoc*",OFFSET(Budget!#REF!,Q73,0,ROWS(#REF!)-Q73,1),0)+Q73,999),IFERROR(MATCH("*PhD*",OFFSET(Budget!#REF!,Q73,0,ROWS(#REF!)-Q73,1),0)+Q73,999),IFERROR(MATCH("*PDEng*",OFFSET(Budget!#REF!,Q73,0,ROWS(#REF!)-Q73,1),0)+Q73,999),IFERROR(MATCH("*Doctorate*",OFFSET(Budget!#REF!,Q73,0,ROWS(#REF!)-Q73,1),0)+Q73,999))&lt;ROWS(#REF!),MIN(IFERROR(MATCH("*PostDoc*",OFFSET(Budget!#REF!,Q73,0,ROWS(#REF!)-Q73,1),0)+Q73,999),IFERROR(MATCH("*PhD*",OFFSET(Budget!#REF!,Q73,0,ROWS(#REF!)-Q73,1),0)+Q73,999),IFERROR(MATCH("*PDEng*",OFFSET(Budget!#REF!,Q73,0,ROWS(#REF!)-Q73,1),0)+Q73,999),IFERROR(MATCH("*Doctorate*",OFFSET(Budget!#REF!,Q73,0,ROWS(#REF!)-Q73,1),0)+Q73,999)),"")</f>
        <v>#REF!</v>
      </c>
      <c r="R74" s="113" t="str">
        <f ca="1">IFERROR(INDEX(#REF!,Q74),"")</f>
        <v/>
      </c>
      <c r="S74" s="113" t="str">
        <f ca="1">IFERROR(INDEX(#REF!,Q74),"")</f>
        <v/>
      </c>
      <c r="T74" s="113" t="str">
        <f ca="1">IFERROR(INDEX(#REF!,Q74),"")</f>
        <v/>
      </c>
      <c r="U74" s="113" t="str">
        <f ca="1">SUBSTITUTE(IFERROR(INDEX(#REF!,Q74),""),0,"")</f>
        <v/>
      </c>
      <c r="V74" s="132" t="str">
        <f ca="1">SUBSTITUTE(IFERROR(INDEX(#REF!,Q74),""),0,"")</f>
        <v/>
      </c>
      <c r="W74" s="113"/>
      <c r="X74" s="133" t="e">
        <f>IF(ROW(E1611)-ROW($E$1548)&lt;ROWS(#REF!),IFERROR(IF(INDEX(list_cofunders[private?],MATCH(Budget!#REF!,list_cofunders[list cofunders],0),1)="yes",Budget!#REF!,""),""),"")</f>
        <v>#REF!</v>
      </c>
      <c r="Y74" s="134" t="e">
        <f>IF(ROW(E1714)-ROW($E$1651)&lt;ROWS(#REF!),IFERROR(IF(INDEX(list_cofunders[private?],MATCH(Budget!#REF!,list_cofunders[list cofunders],0),1)="yes",Budget!#REF!,""),""),"")</f>
        <v>#REF!</v>
      </c>
      <c r="Z74" s="113" t="str">
        <f>IFERROR(INDEX(#REF!,X74),"")</f>
        <v/>
      </c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CZ74" s="22"/>
      <c r="DA74" s="22"/>
      <c r="DB74" s="22"/>
      <c r="DC74" s="22"/>
      <c r="DD74" s="22"/>
      <c r="DE74" s="22"/>
      <c r="DF74" s="22"/>
      <c r="DG74" s="22"/>
      <c r="DH74" s="22"/>
    </row>
    <row r="75" spans="2:112" s="21" customFormat="1" ht="11.25" customHeight="1" outlineLevel="1" x14ac:dyDescent="0.35">
      <c r="B75" s="83" t="e">
        <f ca="1">IF(IFERROR(MATCH("*Other*",OFFSET(Budget!#REF!,B74,0,ROWS(#REF!),1),0)+B74,999)&lt;ROWS(#REF!),IFERROR(MATCH("*Other*",OFFSET(Budget!#REF!,B74,0,ROWS(#REF!),1),0)+B74,999),"")</f>
        <v>#REF!</v>
      </c>
      <c r="C75" s="70" t="str">
        <f ca="1">IFERROR(INDEX(#REF!,B75),"")</f>
        <v/>
      </c>
      <c r="E75" s="83" t="e">
        <f ca="1">IF(MIN(IFERROR(MATCH("*PostDoc*",OFFSET(Budget!#REF!,E74,0,ROWS(#REF!),1),0)+E74,999),IFERROR(MATCH("*PhD*",OFFSET(Budget!#REF!,E74,0,ROWS(#REF!),1),0)+E74,999),IFERROR(MATCH("*PDEng*",OFFSET(Budget!#REF!,E74,0,ROWS(#REF!),1),0)+E74,999))&lt;ROWS(#REF!),MIN(IFERROR(MATCH("*PostDoc*",OFFSET(Budget!#REF!,E74,0,ROWS(#REF!),1),0)+E74,999),IFERROR(MATCH("*PhD*",OFFSET(Budget!#REF!,E74,0,ROWS(#REF!),1),0)+E74,999),IFERROR(MATCH("*PDEng*",OFFSET(Budget!#REF!,E74,0,ROWS(#REF!),1),0)+E74,999)),"")</f>
        <v>#REF!</v>
      </c>
      <c r="F75" s="74" t="str">
        <f ca="1">IFERROR(INDEX(#REF!,E75)*INDEX(#REF!,E75)/12,"")</f>
        <v/>
      </c>
      <c r="G75" s="90"/>
      <c r="H75" s="83" t="e">
        <f ca="1">IF(IFERROR(MATCH("*researcher*",OFFSET(Budget!#REF!,H74,0,ROWS(#REF!),1),0)+H74,999)&lt;ROWS(#REF!),IFERROR(MATCH("*researcher*",OFFSET(Budget!#REF!,H74,0,ROWS(#REF!),1),0)+H74,999),"")</f>
        <v>#REF!</v>
      </c>
      <c r="I75" s="74" t="str">
        <f ca="1">IF(ISERROR(IF(AND(INDEX(#REF!,H75)&gt;=pers_oi_min_months,INDEX(#REF!,H75)/INDEX(#REF!,H75)*12/pers_other_nrhours_year&gt;=pers_oi_minFTE)=TRUE,INDEX(#REF!,H75)/12,0)),"",IF(AND(INDEX(#REF!,H75)&gt;=pers_oi_min_months,INDEX(#REF!,H75)/INDEX(#REF!,H75)*12/pers_other_nrhours_year&gt;=pers_oi_minFTE)=TRUE,INDEX(#REF!,H75)/12,""))</f>
        <v/>
      </c>
      <c r="J75" s="90"/>
      <c r="K75" s="83" t="e">
        <f ca="1">IF(IFERROR(MATCH("*Non-scientific*",OFFSET(Budget!#REF!,K74,0,ROWS(#REF!),1),0)+K74,999)&lt;ROWS(#REF!),IFERROR(MATCH("*Non-scientific*",OFFSET(Budget!#REF!,K74,0,ROWS(#REF!),1),0)+K74,999),"")</f>
        <v>#REF!</v>
      </c>
      <c r="L75" s="70" t="str">
        <f ca="1">IFERROR(INDEX(#REF!,K75),"")</f>
        <v/>
      </c>
      <c r="M75" s="113"/>
      <c r="N75" s="83" t="e">
        <f ca="1">IF(IFERROR(MATCH("*leave*",OFFSET(Budget!#REF!,N74,0,ROWS(#REF!),1),0)+N74,999)&lt;ROWS(#REF!),IFERROR(MATCH("*leave*",OFFSET(Budget!#REF!,N74,0,ROWS(#REF!),1),0)+N74,999),"")</f>
        <v>#REF!</v>
      </c>
      <c r="O75" s="88" t="str">
        <f ca="1">IFERROR(INDEX(#REF!,N75)*INDEX(#REF!,N75),"")</f>
        <v/>
      </c>
      <c r="P75" s="113"/>
      <c r="Q75" s="83" t="e">
        <f ca="1">IF(MIN(IFERROR(MATCH("*PostDoc*",OFFSET(Budget!#REF!,Q74,0,ROWS(#REF!)-Q74,1),0)+Q74,999),IFERROR(MATCH("*PhD*",OFFSET(Budget!#REF!,Q74,0,ROWS(#REF!)-Q74,1),0)+Q74,999),IFERROR(MATCH("*PDEng*",OFFSET(Budget!#REF!,Q74,0,ROWS(#REF!)-Q74,1),0)+Q74,999),IFERROR(MATCH("*Doctorate*",OFFSET(Budget!#REF!,Q74,0,ROWS(#REF!)-Q74,1),0)+Q74,999))&lt;ROWS(#REF!),MIN(IFERROR(MATCH("*PostDoc*",OFFSET(Budget!#REF!,Q74,0,ROWS(#REF!)-Q74,1),0)+Q74,999),IFERROR(MATCH("*PhD*",OFFSET(Budget!#REF!,Q74,0,ROWS(#REF!)-Q74,1),0)+Q74,999),IFERROR(MATCH("*PDEng*",OFFSET(Budget!#REF!,Q74,0,ROWS(#REF!)-Q74,1),0)+Q74,999),IFERROR(MATCH("*Doctorate*",OFFSET(Budget!#REF!,Q74,0,ROWS(#REF!)-Q74,1),0)+Q74,999)),"")</f>
        <v>#REF!</v>
      </c>
      <c r="R75" s="113" t="str">
        <f ca="1">IFERROR(INDEX(#REF!,Q75),"")</f>
        <v/>
      </c>
      <c r="S75" s="113" t="str">
        <f ca="1">IFERROR(INDEX(#REF!,Q75),"")</f>
        <v/>
      </c>
      <c r="T75" s="113" t="str">
        <f ca="1">IFERROR(INDEX(#REF!,Q75),"")</f>
        <v/>
      </c>
      <c r="U75" s="113" t="str">
        <f ca="1">SUBSTITUTE(IFERROR(INDEX(#REF!,Q75),""),0,"")</f>
        <v/>
      </c>
      <c r="V75" s="132" t="str">
        <f ca="1">SUBSTITUTE(IFERROR(INDEX(#REF!,Q75),""),0,"")</f>
        <v/>
      </c>
      <c r="W75" s="113"/>
      <c r="X75" s="133" t="e">
        <f>IF(ROW(E1612)-ROW($E$1548)&lt;ROWS(#REF!),IFERROR(IF(INDEX(list_cofunders[private?],MATCH(Budget!#REF!,list_cofunders[list cofunders],0),1)="yes",Budget!#REF!,""),""),"")</f>
        <v>#REF!</v>
      </c>
      <c r="Y75" s="134" t="e">
        <f>IF(ROW(E1715)-ROW($E$1651)&lt;ROWS(#REF!),IFERROR(IF(INDEX(list_cofunders[private?],MATCH(Budget!#REF!,list_cofunders[list cofunders],0),1)="yes",Budget!#REF!,""),""),"")</f>
        <v>#REF!</v>
      </c>
      <c r="Z75" s="113" t="str">
        <f>IFERROR(INDEX(#REF!,X75),"")</f>
        <v/>
      </c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CZ75" s="22"/>
      <c r="DA75" s="22"/>
      <c r="DB75" s="22"/>
      <c r="DC75" s="22"/>
      <c r="DD75" s="22"/>
      <c r="DE75" s="22"/>
      <c r="DF75" s="22"/>
      <c r="DG75" s="22"/>
      <c r="DH75" s="22"/>
    </row>
    <row r="76" spans="2:112" s="21" customFormat="1" ht="11.25" customHeight="1" outlineLevel="1" x14ac:dyDescent="0.35">
      <c r="B76" s="83" t="e">
        <f ca="1">IF(IFERROR(MATCH("*Other*",OFFSET(Budget!#REF!,B75,0,ROWS(#REF!),1),0)+B75,999)&lt;ROWS(#REF!),IFERROR(MATCH("*Other*",OFFSET(Budget!#REF!,B75,0,ROWS(#REF!),1),0)+B75,999),"")</f>
        <v>#REF!</v>
      </c>
      <c r="C76" s="70" t="str">
        <f ca="1">IFERROR(INDEX(#REF!,B76),"")</f>
        <v/>
      </c>
      <c r="E76" s="83" t="e">
        <f ca="1">IF(MIN(IFERROR(MATCH("*PostDoc*",OFFSET(Budget!#REF!,E75,0,ROWS(#REF!),1),0)+E75,999),IFERROR(MATCH("*PhD*",OFFSET(Budget!#REF!,E75,0,ROWS(#REF!),1),0)+E75,999),IFERROR(MATCH("*PDEng*",OFFSET(Budget!#REF!,E75,0,ROWS(#REF!),1),0)+E75,999))&lt;ROWS(#REF!),MIN(IFERROR(MATCH("*PostDoc*",OFFSET(Budget!#REF!,E75,0,ROWS(#REF!),1),0)+E75,999),IFERROR(MATCH("*PhD*",OFFSET(Budget!#REF!,E75,0,ROWS(#REF!),1),0)+E75,999),IFERROR(MATCH("*PDEng*",OFFSET(Budget!#REF!,E75,0,ROWS(#REF!),1),0)+E75,999)),"")</f>
        <v>#REF!</v>
      </c>
      <c r="F76" s="74" t="str">
        <f ca="1">IFERROR(INDEX(#REF!,E76)*INDEX(#REF!,E76)/12,"")</f>
        <v/>
      </c>
      <c r="G76" s="90"/>
      <c r="H76" s="83" t="e">
        <f ca="1">IF(IFERROR(MATCH("*researcher*",OFFSET(Budget!#REF!,H75,0,ROWS(#REF!),1),0)+H75,999)&lt;ROWS(#REF!),IFERROR(MATCH("*researcher*",OFFSET(Budget!#REF!,H75,0,ROWS(#REF!),1),0)+H75,999),"")</f>
        <v>#REF!</v>
      </c>
      <c r="I76" s="74" t="str">
        <f ca="1">IF(ISERROR(IF(AND(INDEX(#REF!,H76)&gt;=pers_oi_min_months,INDEX(#REF!,H76)/INDEX(#REF!,H76)*12/pers_other_nrhours_year&gt;=pers_oi_minFTE)=TRUE,INDEX(#REF!,H76)/12,0)),"",IF(AND(INDEX(#REF!,H76)&gt;=pers_oi_min_months,INDEX(#REF!,H76)/INDEX(#REF!,H76)*12/pers_other_nrhours_year&gt;=pers_oi_minFTE)=TRUE,INDEX(#REF!,H76)/12,""))</f>
        <v/>
      </c>
      <c r="J76" s="90"/>
      <c r="K76" s="83" t="e">
        <f ca="1">IF(IFERROR(MATCH("*Non-scientific*",OFFSET(Budget!#REF!,K75,0,ROWS(#REF!),1),0)+K75,999)&lt;ROWS(#REF!),IFERROR(MATCH("*Non-scientific*",OFFSET(Budget!#REF!,K75,0,ROWS(#REF!),1),0)+K75,999),"")</f>
        <v>#REF!</v>
      </c>
      <c r="L76" s="70" t="str">
        <f ca="1">IFERROR(INDEX(#REF!,K76),"")</f>
        <v/>
      </c>
      <c r="M76" s="113"/>
      <c r="N76" s="83" t="e">
        <f ca="1">IF(IFERROR(MATCH("*leave*",OFFSET(Budget!#REF!,N75,0,ROWS(#REF!),1),0)+N75,999)&lt;ROWS(#REF!),IFERROR(MATCH("*leave*",OFFSET(Budget!#REF!,N75,0,ROWS(#REF!),1),0)+N75,999),"")</f>
        <v>#REF!</v>
      </c>
      <c r="O76" s="88" t="str">
        <f ca="1">IFERROR(INDEX(#REF!,N76)*INDEX(#REF!,N76),"")</f>
        <v/>
      </c>
      <c r="P76" s="113"/>
      <c r="Q76" s="83" t="e">
        <f ca="1">IF(MIN(IFERROR(MATCH("*PostDoc*",OFFSET(Budget!#REF!,Q75,0,ROWS(#REF!)-Q75,1),0)+Q75,999),IFERROR(MATCH("*PhD*",OFFSET(Budget!#REF!,Q75,0,ROWS(#REF!)-Q75,1),0)+Q75,999),IFERROR(MATCH("*PDEng*",OFFSET(Budget!#REF!,Q75,0,ROWS(#REF!)-Q75,1),0)+Q75,999),IFERROR(MATCH("*Doctorate*",OFFSET(Budget!#REF!,Q75,0,ROWS(#REF!)-Q75,1),0)+Q75,999))&lt;ROWS(#REF!),MIN(IFERROR(MATCH("*PostDoc*",OFFSET(Budget!#REF!,Q75,0,ROWS(#REF!)-Q75,1),0)+Q75,999),IFERROR(MATCH("*PhD*",OFFSET(Budget!#REF!,Q75,0,ROWS(#REF!)-Q75,1),0)+Q75,999),IFERROR(MATCH("*PDEng*",OFFSET(Budget!#REF!,Q75,0,ROWS(#REF!)-Q75,1),0)+Q75,999),IFERROR(MATCH("*Doctorate*",OFFSET(Budget!#REF!,Q75,0,ROWS(#REF!)-Q75,1),0)+Q75,999)),"")</f>
        <v>#REF!</v>
      </c>
      <c r="R76" s="113" t="str">
        <f ca="1">IFERROR(INDEX(#REF!,Q76),"")</f>
        <v/>
      </c>
      <c r="S76" s="113" t="str">
        <f ca="1">IFERROR(INDEX(#REF!,Q76),"")</f>
        <v/>
      </c>
      <c r="T76" s="113" t="str">
        <f ca="1">IFERROR(INDEX(#REF!,Q76),"")</f>
        <v/>
      </c>
      <c r="U76" s="113" t="str">
        <f ca="1">SUBSTITUTE(IFERROR(INDEX(#REF!,Q76),""),0,"")</f>
        <v/>
      </c>
      <c r="V76" s="132" t="str">
        <f ca="1">SUBSTITUTE(IFERROR(INDEX(#REF!,Q76),""),0,"")</f>
        <v/>
      </c>
      <c r="W76" s="113"/>
      <c r="X76" s="133" t="e">
        <f>IF(ROW(E1613)-ROW($E$1548)&lt;ROWS(#REF!),IFERROR(IF(INDEX(list_cofunders[private?],MATCH(Budget!#REF!,list_cofunders[list cofunders],0),1)="yes",Budget!#REF!,""),""),"")</f>
        <v>#REF!</v>
      </c>
      <c r="Y76" s="134" t="e">
        <f>IF(ROW(E1716)-ROW($E$1651)&lt;ROWS(#REF!),IFERROR(IF(INDEX(list_cofunders[private?],MATCH(Budget!#REF!,list_cofunders[list cofunders],0),1)="yes",Budget!#REF!,""),""),"")</f>
        <v>#REF!</v>
      </c>
      <c r="Z76" s="113" t="str">
        <f>IFERROR(INDEX(#REF!,X76),"")</f>
        <v/>
      </c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CZ76" s="22"/>
      <c r="DA76" s="22"/>
      <c r="DB76" s="22"/>
      <c r="DC76" s="22"/>
      <c r="DD76" s="22"/>
      <c r="DE76" s="22"/>
      <c r="DF76" s="22"/>
      <c r="DG76" s="22"/>
      <c r="DH76" s="22"/>
    </row>
    <row r="77" spans="2:112" s="21" customFormat="1" ht="11.25" customHeight="1" outlineLevel="1" x14ac:dyDescent="0.35">
      <c r="B77" s="83" t="e">
        <f ca="1">IF(IFERROR(MATCH("*Other*",OFFSET(Budget!#REF!,B76,0,ROWS(#REF!),1),0)+B76,999)&lt;ROWS(#REF!),IFERROR(MATCH("*Other*",OFFSET(Budget!#REF!,B76,0,ROWS(#REF!),1),0)+B76,999),"")</f>
        <v>#REF!</v>
      </c>
      <c r="C77" s="70" t="str">
        <f ca="1">IFERROR(INDEX(#REF!,B77),"")</f>
        <v/>
      </c>
      <c r="E77" s="83" t="e">
        <f ca="1">IF(MIN(IFERROR(MATCH("*PostDoc*",OFFSET(Budget!#REF!,E76,0,ROWS(#REF!),1),0)+E76,999),IFERROR(MATCH("*PhD*",OFFSET(Budget!#REF!,E76,0,ROWS(#REF!),1),0)+E76,999),IFERROR(MATCH("*PDEng*",OFFSET(Budget!#REF!,E76,0,ROWS(#REF!),1),0)+E76,999))&lt;ROWS(#REF!),MIN(IFERROR(MATCH("*PostDoc*",OFFSET(Budget!#REF!,E76,0,ROWS(#REF!),1),0)+E76,999),IFERROR(MATCH("*PhD*",OFFSET(Budget!#REF!,E76,0,ROWS(#REF!),1),0)+E76,999),IFERROR(MATCH("*PDEng*",OFFSET(Budget!#REF!,E76,0,ROWS(#REF!),1),0)+E76,999)),"")</f>
        <v>#REF!</v>
      </c>
      <c r="F77" s="74" t="str">
        <f ca="1">IFERROR(INDEX(#REF!,E77)*INDEX(#REF!,E77)/12,"")</f>
        <v/>
      </c>
      <c r="G77" s="90"/>
      <c r="H77" s="83" t="e">
        <f ca="1">IF(IFERROR(MATCH("*researcher*",OFFSET(Budget!#REF!,H76,0,ROWS(#REF!),1),0)+H76,999)&lt;ROWS(#REF!),IFERROR(MATCH("*researcher*",OFFSET(Budget!#REF!,H76,0,ROWS(#REF!),1),0)+H76,999),"")</f>
        <v>#REF!</v>
      </c>
      <c r="I77" s="74" t="str">
        <f ca="1">IF(ISERROR(IF(AND(INDEX(#REF!,H77)&gt;=pers_oi_min_months,INDEX(#REF!,H77)/INDEX(#REF!,H77)*12/pers_other_nrhours_year&gt;=pers_oi_minFTE)=TRUE,INDEX(#REF!,H77)/12,0)),"",IF(AND(INDEX(#REF!,H77)&gt;=pers_oi_min_months,INDEX(#REF!,H77)/INDEX(#REF!,H77)*12/pers_other_nrhours_year&gt;=pers_oi_minFTE)=TRUE,INDEX(#REF!,H77)/12,""))</f>
        <v/>
      </c>
      <c r="J77" s="90"/>
      <c r="K77" s="83" t="e">
        <f ca="1">IF(IFERROR(MATCH("*Non-scientific*",OFFSET(Budget!#REF!,K76,0,ROWS(#REF!),1),0)+K76,999)&lt;ROWS(#REF!),IFERROR(MATCH("*Non-scientific*",OFFSET(Budget!#REF!,K76,0,ROWS(#REF!),1),0)+K76,999),"")</f>
        <v>#REF!</v>
      </c>
      <c r="L77" s="70" t="str">
        <f ca="1">IFERROR(INDEX(#REF!,K77),"")</f>
        <v/>
      </c>
      <c r="M77" s="113"/>
      <c r="N77" s="83" t="e">
        <f ca="1">IF(IFERROR(MATCH("*leave*",OFFSET(Budget!#REF!,N76,0,ROWS(#REF!),1),0)+N76,999)&lt;ROWS(#REF!),IFERROR(MATCH("*leave*",OFFSET(Budget!#REF!,N76,0,ROWS(#REF!),1),0)+N76,999),"")</f>
        <v>#REF!</v>
      </c>
      <c r="O77" s="88" t="str">
        <f ca="1">IFERROR(INDEX(#REF!,N77)*INDEX(#REF!,N77),"")</f>
        <v/>
      </c>
      <c r="P77" s="113"/>
      <c r="Q77" s="83" t="e">
        <f ca="1">IF(MIN(IFERROR(MATCH("*PostDoc*",OFFSET(Budget!#REF!,Q76,0,ROWS(#REF!)-Q76,1),0)+Q76,999),IFERROR(MATCH("*PhD*",OFFSET(Budget!#REF!,Q76,0,ROWS(#REF!)-Q76,1),0)+Q76,999),IFERROR(MATCH("*PDEng*",OFFSET(Budget!#REF!,Q76,0,ROWS(#REF!)-Q76,1),0)+Q76,999),IFERROR(MATCH("*Doctorate*",OFFSET(Budget!#REF!,Q76,0,ROWS(#REF!)-Q76,1),0)+Q76,999))&lt;ROWS(#REF!),MIN(IFERROR(MATCH("*PostDoc*",OFFSET(Budget!#REF!,Q76,0,ROWS(#REF!)-Q76,1),0)+Q76,999),IFERROR(MATCH("*PhD*",OFFSET(Budget!#REF!,Q76,0,ROWS(#REF!)-Q76,1),0)+Q76,999),IFERROR(MATCH("*PDEng*",OFFSET(Budget!#REF!,Q76,0,ROWS(#REF!)-Q76,1),0)+Q76,999),IFERROR(MATCH("*Doctorate*",OFFSET(Budget!#REF!,Q76,0,ROWS(#REF!)-Q76,1),0)+Q76,999)),"")</f>
        <v>#REF!</v>
      </c>
      <c r="R77" s="113" t="str">
        <f ca="1">IFERROR(INDEX(#REF!,Q77),"")</f>
        <v/>
      </c>
      <c r="S77" s="113" t="str">
        <f ca="1">IFERROR(INDEX(#REF!,Q77),"")</f>
        <v/>
      </c>
      <c r="T77" s="113" t="str">
        <f ca="1">IFERROR(INDEX(#REF!,Q77),"")</f>
        <v/>
      </c>
      <c r="U77" s="113" t="str">
        <f ca="1">SUBSTITUTE(IFERROR(INDEX(#REF!,Q77),""),0,"")</f>
        <v/>
      </c>
      <c r="V77" s="132" t="str">
        <f ca="1">SUBSTITUTE(IFERROR(INDEX(#REF!,Q77),""),0,"")</f>
        <v/>
      </c>
      <c r="W77" s="113"/>
      <c r="X77" s="133" t="e">
        <f>IF(ROW(E1614)-ROW($E$1548)&lt;ROWS(#REF!),IFERROR(IF(INDEX(list_cofunders[private?],MATCH(Budget!#REF!,list_cofunders[list cofunders],0),1)="yes",Budget!#REF!,""),""),"")</f>
        <v>#REF!</v>
      </c>
      <c r="Y77" s="134" t="e">
        <f>IF(ROW(E1717)-ROW($E$1651)&lt;ROWS(#REF!),IFERROR(IF(INDEX(list_cofunders[private?],MATCH(Budget!#REF!,list_cofunders[list cofunders],0),1)="yes",Budget!#REF!,""),""),"")</f>
        <v>#REF!</v>
      </c>
      <c r="Z77" s="113" t="str">
        <f>IFERROR(INDEX(#REF!,X77),"")</f>
        <v/>
      </c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CZ77" s="22"/>
      <c r="DA77" s="22"/>
      <c r="DB77" s="22"/>
      <c r="DC77" s="22"/>
      <c r="DD77" s="22"/>
      <c r="DE77" s="22"/>
      <c r="DF77" s="22"/>
      <c r="DG77" s="22"/>
      <c r="DH77" s="22"/>
    </row>
    <row r="78" spans="2:112" s="21" customFormat="1" ht="11.25" customHeight="1" outlineLevel="1" x14ac:dyDescent="0.35">
      <c r="B78" s="83" t="e">
        <f ca="1">IF(IFERROR(MATCH("*Other*",OFFSET(Budget!#REF!,B77,0,ROWS(#REF!),1),0)+B77,999)&lt;ROWS(#REF!),IFERROR(MATCH("*Other*",OFFSET(Budget!#REF!,B77,0,ROWS(#REF!),1),0)+B77,999),"")</f>
        <v>#REF!</v>
      </c>
      <c r="C78" s="70" t="str">
        <f ca="1">IFERROR(INDEX(#REF!,B78),"")</f>
        <v/>
      </c>
      <c r="E78" s="83" t="e">
        <f ca="1">IF(MIN(IFERROR(MATCH("*PostDoc*",OFFSET(Budget!#REF!,E77,0,ROWS(#REF!),1),0)+E77,999),IFERROR(MATCH("*PhD*",OFFSET(Budget!#REF!,E77,0,ROWS(#REF!),1),0)+E77,999),IFERROR(MATCH("*PDEng*",OFFSET(Budget!#REF!,E77,0,ROWS(#REF!),1),0)+E77,999))&lt;ROWS(#REF!),MIN(IFERROR(MATCH("*PostDoc*",OFFSET(Budget!#REF!,E77,0,ROWS(#REF!),1),0)+E77,999),IFERROR(MATCH("*PhD*",OFFSET(Budget!#REF!,E77,0,ROWS(#REF!),1),0)+E77,999),IFERROR(MATCH("*PDEng*",OFFSET(Budget!#REF!,E77,0,ROWS(#REF!),1),0)+E77,999)),"")</f>
        <v>#REF!</v>
      </c>
      <c r="F78" s="74" t="str">
        <f ca="1">IFERROR(INDEX(#REF!,E78)*INDEX(#REF!,E78)/12,"")</f>
        <v/>
      </c>
      <c r="G78" s="90"/>
      <c r="H78" s="83" t="e">
        <f ca="1">IF(IFERROR(MATCH("*researcher*",OFFSET(Budget!#REF!,H77,0,ROWS(#REF!),1),0)+H77,999)&lt;ROWS(#REF!),IFERROR(MATCH("*researcher*",OFFSET(Budget!#REF!,H77,0,ROWS(#REF!),1),0)+H77,999),"")</f>
        <v>#REF!</v>
      </c>
      <c r="I78" s="74" t="str">
        <f ca="1">IF(ISERROR(IF(AND(INDEX(#REF!,H78)&gt;=pers_oi_min_months,INDEX(#REF!,H78)/INDEX(#REF!,H78)*12/pers_other_nrhours_year&gt;=pers_oi_minFTE)=TRUE,INDEX(#REF!,H78)/12,0)),"",IF(AND(INDEX(#REF!,H78)&gt;=pers_oi_min_months,INDEX(#REF!,H78)/INDEX(#REF!,H78)*12/pers_other_nrhours_year&gt;=pers_oi_minFTE)=TRUE,INDEX(#REF!,H78)/12,""))</f>
        <v/>
      </c>
      <c r="J78" s="90"/>
      <c r="K78" s="83" t="e">
        <f ca="1">IF(IFERROR(MATCH("*Non-scientific*",OFFSET(Budget!#REF!,K77,0,ROWS(#REF!),1),0)+K77,999)&lt;ROWS(#REF!),IFERROR(MATCH("*Non-scientific*",OFFSET(Budget!#REF!,K77,0,ROWS(#REF!),1),0)+K77,999),"")</f>
        <v>#REF!</v>
      </c>
      <c r="L78" s="70" t="str">
        <f ca="1">IFERROR(INDEX(#REF!,K78),"")</f>
        <v/>
      </c>
      <c r="M78" s="113"/>
      <c r="N78" s="83" t="e">
        <f ca="1">IF(IFERROR(MATCH("*leave*",OFFSET(Budget!#REF!,N77,0,ROWS(#REF!),1),0)+N77,999)&lt;ROWS(#REF!),IFERROR(MATCH("*leave*",OFFSET(Budget!#REF!,N77,0,ROWS(#REF!),1),0)+N77,999),"")</f>
        <v>#REF!</v>
      </c>
      <c r="O78" s="88" t="str">
        <f ca="1">IFERROR(INDEX(#REF!,N78)*INDEX(#REF!,N78),"")</f>
        <v/>
      </c>
      <c r="P78" s="113"/>
      <c r="Q78" s="83" t="e">
        <f ca="1">IF(MIN(IFERROR(MATCH("*PostDoc*",OFFSET(Budget!#REF!,Q77,0,ROWS(#REF!)-Q77,1),0)+Q77,999),IFERROR(MATCH("*PhD*",OFFSET(Budget!#REF!,Q77,0,ROWS(#REF!)-Q77,1),0)+Q77,999),IFERROR(MATCH("*PDEng*",OFFSET(Budget!#REF!,Q77,0,ROWS(#REF!)-Q77,1),0)+Q77,999),IFERROR(MATCH("*Doctorate*",OFFSET(Budget!#REF!,Q77,0,ROWS(#REF!)-Q77,1),0)+Q77,999))&lt;ROWS(#REF!),MIN(IFERROR(MATCH("*PostDoc*",OFFSET(Budget!#REF!,Q77,0,ROWS(#REF!)-Q77,1),0)+Q77,999),IFERROR(MATCH("*PhD*",OFFSET(Budget!#REF!,Q77,0,ROWS(#REF!)-Q77,1),0)+Q77,999),IFERROR(MATCH("*PDEng*",OFFSET(Budget!#REF!,Q77,0,ROWS(#REF!)-Q77,1),0)+Q77,999),IFERROR(MATCH("*Doctorate*",OFFSET(Budget!#REF!,Q77,0,ROWS(#REF!)-Q77,1),0)+Q77,999)),"")</f>
        <v>#REF!</v>
      </c>
      <c r="R78" s="113" t="str">
        <f ca="1">IFERROR(INDEX(#REF!,Q78),"")</f>
        <v/>
      </c>
      <c r="S78" s="113" t="str">
        <f ca="1">IFERROR(INDEX(#REF!,Q78),"")</f>
        <v/>
      </c>
      <c r="T78" s="113" t="str">
        <f ca="1">IFERROR(INDEX(#REF!,Q78),"")</f>
        <v/>
      </c>
      <c r="U78" s="113" t="str">
        <f ca="1">SUBSTITUTE(IFERROR(INDEX(#REF!,Q78),""),0,"")</f>
        <v/>
      </c>
      <c r="V78" s="132" t="str">
        <f ca="1">SUBSTITUTE(IFERROR(INDEX(#REF!,Q78),""),0,"")</f>
        <v/>
      </c>
      <c r="W78" s="113"/>
      <c r="X78" s="133" t="e">
        <f>IF(ROW(E1615)-ROW($E$1548)&lt;ROWS(#REF!),IFERROR(IF(INDEX(list_cofunders[private?],MATCH(Budget!#REF!,list_cofunders[list cofunders],0),1)="yes",Budget!#REF!,""),""),"")</f>
        <v>#REF!</v>
      </c>
      <c r="Y78" s="134" t="e">
        <f>IF(ROW(E1718)-ROW($E$1651)&lt;ROWS(#REF!),IFERROR(IF(INDEX(list_cofunders[private?],MATCH(Budget!#REF!,list_cofunders[list cofunders],0),1)="yes",Budget!#REF!,""),""),"")</f>
        <v>#REF!</v>
      </c>
      <c r="Z78" s="113" t="str">
        <f>IFERROR(INDEX(#REF!,X78),"")</f>
        <v/>
      </c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CZ78" s="22"/>
      <c r="DA78" s="22"/>
      <c r="DB78" s="22"/>
      <c r="DC78" s="22"/>
      <c r="DD78" s="22"/>
      <c r="DE78" s="22"/>
      <c r="DF78" s="22"/>
      <c r="DG78" s="22"/>
      <c r="DH78" s="22"/>
    </row>
    <row r="79" spans="2:112" s="21" customFormat="1" ht="11.25" customHeight="1" outlineLevel="1" x14ac:dyDescent="0.35">
      <c r="B79" s="83" t="e">
        <f ca="1">IF(IFERROR(MATCH("*Other*",OFFSET(Budget!#REF!,B78,0,ROWS(#REF!),1),0)+B78,999)&lt;ROWS(#REF!),IFERROR(MATCH("*Other*",OFFSET(Budget!#REF!,B78,0,ROWS(#REF!),1),0)+B78,999),"")</f>
        <v>#REF!</v>
      </c>
      <c r="C79" s="70" t="str">
        <f ca="1">IFERROR(INDEX(#REF!,B79),"")</f>
        <v/>
      </c>
      <c r="E79" s="83" t="e">
        <f ca="1">IF(MIN(IFERROR(MATCH("*PostDoc*",OFFSET(Budget!#REF!,E78,0,ROWS(#REF!),1),0)+E78,999),IFERROR(MATCH("*PhD*",OFFSET(Budget!#REF!,E78,0,ROWS(#REF!),1),0)+E78,999),IFERROR(MATCH("*PDEng*",OFFSET(Budget!#REF!,E78,0,ROWS(#REF!),1),0)+E78,999))&lt;ROWS(#REF!),MIN(IFERROR(MATCH("*PostDoc*",OFFSET(Budget!#REF!,E78,0,ROWS(#REF!),1),0)+E78,999),IFERROR(MATCH("*PhD*",OFFSET(Budget!#REF!,E78,0,ROWS(#REF!),1),0)+E78,999),IFERROR(MATCH("*PDEng*",OFFSET(Budget!#REF!,E78,0,ROWS(#REF!),1),0)+E78,999)),"")</f>
        <v>#REF!</v>
      </c>
      <c r="F79" s="74" t="str">
        <f ca="1">IFERROR(INDEX(#REF!,E79)*INDEX(#REF!,E79)/12,"")</f>
        <v/>
      </c>
      <c r="G79" s="90"/>
      <c r="H79" s="83" t="e">
        <f ca="1">IF(IFERROR(MATCH("*researcher*",OFFSET(Budget!#REF!,H78,0,ROWS(#REF!),1),0)+H78,999)&lt;ROWS(#REF!),IFERROR(MATCH("*researcher*",OFFSET(Budget!#REF!,H78,0,ROWS(#REF!),1),0)+H78,999),"")</f>
        <v>#REF!</v>
      </c>
      <c r="I79" s="74" t="str">
        <f ca="1">IF(ISERROR(IF(AND(INDEX(#REF!,H79)&gt;=pers_oi_min_months,INDEX(#REF!,H79)/INDEX(#REF!,H79)*12/pers_other_nrhours_year&gt;=pers_oi_minFTE)=TRUE,INDEX(#REF!,H79)/12,0)),"",IF(AND(INDEX(#REF!,H79)&gt;=pers_oi_min_months,INDEX(#REF!,H79)/INDEX(#REF!,H79)*12/pers_other_nrhours_year&gt;=pers_oi_minFTE)=TRUE,INDEX(#REF!,H79)/12,""))</f>
        <v/>
      </c>
      <c r="J79" s="90"/>
      <c r="K79" s="83" t="e">
        <f ca="1">IF(IFERROR(MATCH("*Non-scientific*",OFFSET(Budget!#REF!,K78,0,ROWS(#REF!),1),0)+K78,999)&lt;ROWS(#REF!),IFERROR(MATCH("*Non-scientific*",OFFSET(Budget!#REF!,K78,0,ROWS(#REF!),1),0)+K78,999),"")</f>
        <v>#REF!</v>
      </c>
      <c r="L79" s="70" t="str">
        <f ca="1">IFERROR(INDEX(#REF!,K79),"")</f>
        <v/>
      </c>
      <c r="M79" s="113"/>
      <c r="N79" s="83" t="e">
        <f ca="1">IF(IFERROR(MATCH("*leave*",OFFSET(Budget!#REF!,N78,0,ROWS(#REF!),1),0)+N78,999)&lt;ROWS(#REF!),IFERROR(MATCH("*leave*",OFFSET(Budget!#REF!,N78,0,ROWS(#REF!),1),0)+N78,999),"")</f>
        <v>#REF!</v>
      </c>
      <c r="O79" s="88" t="str">
        <f ca="1">IFERROR(INDEX(#REF!,N79)*INDEX(#REF!,N79),"")</f>
        <v/>
      </c>
      <c r="P79" s="113"/>
      <c r="Q79" s="83" t="e">
        <f ca="1">IF(MIN(IFERROR(MATCH("*PostDoc*",OFFSET(Budget!#REF!,Q78,0,ROWS(#REF!)-Q78,1),0)+Q78,999),IFERROR(MATCH("*PhD*",OFFSET(Budget!#REF!,Q78,0,ROWS(#REF!)-Q78,1),0)+Q78,999),IFERROR(MATCH("*PDEng*",OFFSET(Budget!#REF!,Q78,0,ROWS(#REF!)-Q78,1),0)+Q78,999),IFERROR(MATCH("*Doctorate*",OFFSET(Budget!#REF!,Q78,0,ROWS(#REF!)-Q78,1),0)+Q78,999))&lt;ROWS(#REF!),MIN(IFERROR(MATCH("*PostDoc*",OFFSET(Budget!#REF!,Q78,0,ROWS(#REF!)-Q78,1),0)+Q78,999),IFERROR(MATCH("*PhD*",OFFSET(Budget!#REF!,Q78,0,ROWS(#REF!)-Q78,1),0)+Q78,999),IFERROR(MATCH("*PDEng*",OFFSET(Budget!#REF!,Q78,0,ROWS(#REF!)-Q78,1),0)+Q78,999),IFERROR(MATCH("*Doctorate*",OFFSET(Budget!#REF!,Q78,0,ROWS(#REF!)-Q78,1),0)+Q78,999)),"")</f>
        <v>#REF!</v>
      </c>
      <c r="R79" s="113" t="str">
        <f ca="1">IFERROR(INDEX(#REF!,Q79),"")</f>
        <v/>
      </c>
      <c r="S79" s="113" t="str">
        <f ca="1">IFERROR(INDEX(#REF!,Q79),"")</f>
        <v/>
      </c>
      <c r="T79" s="113" t="str">
        <f ca="1">IFERROR(INDEX(#REF!,Q79),"")</f>
        <v/>
      </c>
      <c r="U79" s="113" t="str">
        <f ca="1">SUBSTITUTE(IFERROR(INDEX(#REF!,Q79),""),0,"")</f>
        <v/>
      </c>
      <c r="V79" s="132" t="str">
        <f ca="1">SUBSTITUTE(IFERROR(INDEX(#REF!,Q79),""),0,"")</f>
        <v/>
      </c>
      <c r="W79" s="113"/>
      <c r="X79" s="133" t="e">
        <f>IF(ROW(E1616)-ROW($E$1548)&lt;ROWS(#REF!),IFERROR(IF(INDEX(list_cofunders[private?],MATCH(Budget!#REF!,list_cofunders[list cofunders],0),1)="yes",Budget!#REF!,""),""),"")</f>
        <v>#REF!</v>
      </c>
      <c r="Y79" s="134" t="e">
        <f>IF(ROW(E1719)-ROW($E$1651)&lt;ROWS(#REF!),IFERROR(IF(INDEX(list_cofunders[private?],MATCH(Budget!#REF!,list_cofunders[list cofunders],0),1)="yes",Budget!#REF!,""),""),"")</f>
        <v>#REF!</v>
      </c>
      <c r="Z79" s="113" t="str">
        <f>IFERROR(INDEX(#REF!,X79),"")</f>
        <v/>
      </c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CZ79" s="22"/>
      <c r="DA79" s="22"/>
      <c r="DB79" s="22"/>
      <c r="DC79" s="22"/>
      <c r="DD79" s="22"/>
      <c r="DE79" s="22"/>
      <c r="DF79" s="22"/>
      <c r="DG79" s="22"/>
      <c r="DH79" s="22"/>
    </row>
    <row r="80" spans="2:112" s="21" customFormat="1" ht="11.25" customHeight="1" outlineLevel="1" x14ac:dyDescent="0.35">
      <c r="B80" s="83" t="e">
        <f ca="1">IF(IFERROR(MATCH("*Other*",OFFSET(Budget!#REF!,B79,0,ROWS(#REF!),1),0)+B79,999)&lt;ROWS(#REF!),IFERROR(MATCH("*Other*",OFFSET(Budget!#REF!,B79,0,ROWS(#REF!),1),0)+B79,999),"")</f>
        <v>#REF!</v>
      </c>
      <c r="C80" s="70" t="str">
        <f ca="1">IFERROR(INDEX(#REF!,B80),"")</f>
        <v/>
      </c>
      <c r="E80" s="83" t="e">
        <f ca="1">IF(MIN(IFERROR(MATCH("*PostDoc*",OFFSET(Budget!#REF!,E79,0,ROWS(#REF!),1),0)+E79,999),IFERROR(MATCH("*PhD*",OFFSET(Budget!#REF!,E79,0,ROWS(#REF!),1),0)+E79,999),IFERROR(MATCH("*PDEng*",OFFSET(Budget!#REF!,E79,0,ROWS(#REF!),1),0)+E79,999))&lt;ROWS(#REF!),MIN(IFERROR(MATCH("*PostDoc*",OFFSET(Budget!#REF!,E79,0,ROWS(#REF!),1),0)+E79,999),IFERROR(MATCH("*PhD*",OFFSET(Budget!#REF!,E79,0,ROWS(#REF!),1),0)+E79,999),IFERROR(MATCH("*PDEng*",OFFSET(Budget!#REF!,E79,0,ROWS(#REF!),1),0)+E79,999)),"")</f>
        <v>#REF!</v>
      </c>
      <c r="F80" s="74" t="str">
        <f ca="1">IFERROR(INDEX(#REF!,E80)*INDEX(#REF!,E80)/12,"")</f>
        <v/>
      </c>
      <c r="G80" s="90"/>
      <c r="H80" s="83" t="e">
        <f ca="1">IF(IFERROR(MATCH("*researcher*",OFFSET(Budget!#REF!,H79,0,ROWS(#REF!),1),0)+H79,999)&lt;ROWS(#REF!),IFERROR(MATCH("*researcher*",OFFSET(Budget!#REF!,H79,0,ROWS(#REF!),1),0)+H79,999),"")</f>
        <v>#REF!</v>
      </c>
      <c r="I80" s="74" t="str">
        <f ca="1">IF(ISERROR(IF(AND(INDEX(#REF!,H80)&gt;=pers_oi_min_months,INDEX(#REF!,H80)/INDEX(#REF!,H80)*12/pers_other_nrhours_year&gt;=pers_oi_minFTE)=TRUE,INDEX(#REF!,H80)/12,0)),"",IF(AND(INDEX(#REF!,H80)&gt;=pers_oi_min_months,INDEX(#REF!,H80)/INDEX(#REF!,H80)*12/pers_other_nrhours_year&gt;=pers_oi_minFTE)=TRUE,INDEX(#REF!,H80)/12,""))</f>
        <v/>
      </c>
      <c r="J80" s="90"/>
      <c r="K80" s="83" t="e">
        <f ca="1">IF(IFERROR(MATCH("*Non-scientific*",OFFSET(Budget!#REF!,K79,0,ROWS(#REF!),1),0)+K79,999)&lt;ROWS(#REF!),IFERROR(MATCH("*Non-scientific*",OFFSET(Budget!#REF!,K79,0,ROWS(#REF!),1),0)+K79,999),"")</f>
        <v>#REF!</v>
      </c>
      <c r="L80" s="70" t="str">
        <f ca="1">IFERROR(INDEX(#REF!,K80),"")</f>
        <v/>
      </c>
      <c r="M80" s="113"/>
      <c r="N80" s="83" t="e">
        <f ca="1">IF(IFERROR(MATCH("*leave*",OFFSET(Budget!#REF!,N79,0,ROWS(#REF!),1),0)+N79,999)&lt;ROWS(#REF!),IFERROR(MATCH("*leave*",OFFSET(Budget!#REF!,N79,0,ROWS(#REF!),1),0)+N79,999),"")</f>
        <v>#REF!</v>
      </c>
      <c r="O80" s="88" t="str">
        <f ca="1">IFERROR(INDEX(#REF!,N80)*INDEX(#REF!,N80),"")</f>
        <v/>
      </c>
      <c r="P80" s="113"/>
      <c r="Q80" s="83" t="e">
        <f ca="1">IF(MIN(IFERROR(MATCH("*PostDoc*",OFFSET(Budget!#REF!,Q79,0,ROWS(#REF!)-Q79,1),0)+Q79,999),IFERROR(MATCH("*PhD*",OFFSET(Budget!#REF!,Q79,0,ROWS(#REF!)-Q79,1),0)+Q79,999),IFERROR(MATCH("*PDEng*",OFFSET(Budget!#REF!,Q79,0,ROWS(#REF!)-Q79,1),0)+Q79,999),IFERROR(MATCH("*Doctorate*",OFFSET(Budget!#REF!,Q79,0,ROWS(#REF!)-Q79,1),0)+Q79,999))&lt;ROWS(#REF!),MIN(IFERROR(MATCH("*PostDoc*",OFFSET(Budget!#REF!,Q79,0,ROWS(#REF!)-Q79,1),0)+Q79,999),IFERROR(MATCH("*PhD*",OFFSET(Budget!#REF!,Q79,0,ROWS(#REF!)-Q79,1),0)+Q79,999),IFERROR(MATCH("*PDEng*",OFFSET(Budget!#REF!,Q79,0,ROWS(#REF!)-Q79,1),0)+Q79,999),IFERROR(MATCH("*Doctorate*",OFFSET(Budget!#REF!,Q79,0,ROWS(#REF!)-Q79,1),0)+Q79,999)),"")</f>
        <v>#REF!</v>
      </c>
      <c r="R80" s="113" t="str">
        <f ca="1">IFERROR(INDEX(#REF!,Q80),"")</f>
        <v/>
      </c>
      <c r="S80" s="113" t="str">
        <f ca="1">IFERROR(INDEX(#REF!,Q80),"")</f>
        <v/>
      </c>
      <c r="T80" s="113" t="str">
        <f ca="1">IFERROR(INDEX(#REF!,Q80),"")</f>
        <v/>
      </c>
      <c r="U80" s="113" t="str">
        <f ca="1">SUBSTITUTE(IFERROR(INDEX(#REF!,Q80),""),0,"")</f>
        <v/>
      </c>
      <c r="V80" s="132" t="str">
        <f ca="1">SUBSTITUTE(IFERROR(INDEX(#REF!,Q80),""),0,"")</f>
        <v/>
      </c>
      <c r="W80" s="113"/>
      <c r="X80" s="133" t="e">
        <f>IF(ROW(E1617)-ROW($E$1548)&lt;ROWS(#REF!),IFERROR(IF(INDEX(list_cofunders[private?],MATCH(Budget!#REF!,list_cofunders[list cofunders],0),1)="yes",Budget!#REF!,""),""),"")</f>
        <v>#REF!</v>
      </c>
      <c r="Y80" s="134" t="e">
        <f>IF(ROW(E1720)-ROW($E$1651)&lt;ROWS(#REF!),IFERROR(IF(INDEX(list_cofunders[private?],MATCH(Budget!#REF!,list_cofunders[list cofunders],0),1)="yes",Budget!#REF!,""),""),"")</f>
        <v>#REF!</v>
      </c>
      <c r="Z80" s="113" t="str">
        <f>IFERROR(INDEX(#REF!,X80),"")</f>
        <v/>
      </c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CZ80" s="22"/>
      <c r="DA80" s="22"/>
      <c r="DB80" s="22"/>
      <c r="DC80" s="22"/>
      <c r="DD80" s="22"/>
      <c r="DE80" s="22"/>
      <c r="DF80" s="22"/>
      <c r="DG80" s="22"/>
      <c r="DH80" s="22"/>
    </row>
    <row r="81" spans="2:112" s="21" customFormat="1" ht="11.25" customHeight="1" outlineLevel="1" x14ac:dyDescent="0.35">
      <c r="B81" s="83" t="e">
        <f ca="1">IF(IFERROR(MATCH("*Other*",OFFSET(Budget!#REF!,B80,0,ROWS(#REF!),1),0)+B80,999)&lt;ROWS(#REF!),IFERROR(MATCH("*Other*",OFFSET(Budget!#REF!,B80,0,ROWS(#REF!),1),0)+B80,999),"")</f>
        <v>#REF!</v>
      </c>
      <c r="C81" s="70" t="str">
        <f ca="1">IFERROR(INDEX(#REF!,B81),"")</f>
        <v/>
      </c>
      <c r="E81" s="83" t="e">
        <f ca="1">IF(MIN(IFERROR(MATCH("*PostDoc*",OFFSET(Budget!#REF!,E80,0,ROWS(#REF!),1),0)+E80,999),IFERROR(MATCH("*PhD*",OFFSET(Budget!#REF!,E80,0,ROWS(#REF!),1),0)+E80,999),IFERROR(MATCH("*PDEng*",OFFSET(Budget!#REF!,E80,0,ROWS(#REF!),1),0)+E80,999))&lt;ROWS(#REF!),MIN(IFERROR(MATCH("*PostDoc*",OFFSET(Budget!#REF!,E80,0,ROWS(#REF!),1),0)+E80,999),IFERROR(MATCH("*PhD*",OFFSET(Budget!#REF!,E80,0,ROWS(#REF!),1),0)+E80,999),IFERROR(MATCH("*PDEng*",OFFSET(Budget!#REF!,E80,0,ROWS(#REF!),1),0)+E80,999)),"")</f>
        <v>#REF!</v>
      </c>
      <c r="F81" s="74" t="str">
        <f ca="1">IFERROR(INDEX(#REF!,E81)*INDEX(#REF!,E81)/12,"")</f>
        <v/>
      </c>
      <c r="G81" s="90"/>
      <c r="H81" s="83" t="e">
        <f ca="1">IF(IFERROR(MATCH("*researcher*",OFFSET(Budget!#REF!,H80,0,ROWS(#REF!),1),0)+H80,999)&lt;ROWS(#REF!),IFERROR(MATCH("*researcher*",OFFSET(Budget!#REF!,H80,0,ROWS(#REF!),1),0)+H80,999),"")</f>
        <v>#REF!</v>
      </c>
      <c r="I81" s="74" t="str">
        <f ca="1">IF(ISERROR(IF(AND(INDEX(#REF!,H81)&gt;=pers_oi_min_months,INDEX(#REF!,H81)/INDEX(#REF!,H81)*12/pers_other_nrhours_year&gt;=pers_oi_minFTE)=TRUE,INDEX(#REF!,H81)/12,0)),"",IF(AND(INDEX(#REF!,H81)&gt;=pers_oi_min_months,INDEX(#REF!,H81)/INDEX(#REF!,H81)*12/pers_other_nrhours_year&gt;=pers_oi_minFTE)=TRUE,INDEX(#REF!,H81)/12,""))</f>
        <v/>
      </c>
      <c r="J81" s="90"/>
      <c r="K81" s="83" t="e">
        <f ca="1">IF(IFERROR(MATCH("*Non-scientific*",OFFSET(Budget!#REF!,K80,0,ROWS(#REF!),1),0)+K80,999)&lt;ROWS(#REF!),IFERROR(MATCH("*Non-scientific*",OFFSET(Budget!#REF!,K80,0,ROWS(#REF!),1),0)+K80,999),"")</f>
        <v>#REF!</v>
      </c>
      <c r="L81" s="70" t="str">
        <f ca="1">IFERROR(INDEX(#REF!,K81),"")</f>
        <v/>
      </c>
      <c r="M81" s="113"/>
      <c r="N81" s="83" t="e">
        <f ca="1">IF(IFERROR(MATCH("*leave*",OFFSET(Budget!#REF!,N80,0,ROWS(#REF!),1),0)+N80,999)&lt;ROWS(#REF!),IFERROR(MATCH("*leave*",OFFSET(Budget!#REF!,N80,0,ROWS(#REF!),1),0)+N80,999),"")</f>
        <v>#REF!</v>
      </c>
      <c r="O81" s="88" t="str">
        <f ca="1">IFERROR(INDEX(#REF!,N81)*INDEX(#REF!,N81),"")</f>
        <v/>
      </c>
      <c r="P81" s="113"/>
      <c r="Q81" s="83" t="e">
        <f ca="1">IF(MIN(IFERROR(MATCH("*PostDoc*",OFFSET(Budget!#REF!,Q80,0,ROWS(#REF!)-Q80,1),0)+Q80,999),IFERROR(MATCH("*PhD*",OFFSET(Budget!#REF!,Q80,0,ROWS(#REF!)-Q80,1),0)+Q80,999),IFERROR(MATCH("*PDEng*",OFFSET(Budget!#REF!,Q80,0,ROWS(#REF!)-Q80,1),0)+Q80,999),IFERROR(MATCH("*Doctorate*",OFFSET(Budget!#REF!,Q80,0,ROWS(#REF!)-Q80,1),0)+Q80,999))&lt;ROWS(#REF!),MIN(IFERROR(MATCH("*PostDoc*",OFFSET(Budget!#REF!,Q80,0,ROWS(#REF!)-Q80,1),0)+Q80,999),IFERROR(MATCH("*PhD*",OFFSET(Budget!#REF!,Q80,0,ROWS(#REF!)-Q80,1),0)+Q80,999),IFERROR(MATCH("*PDEng*",OFFSET(Budget!#REF!,Q80,0,ROWS(#REF!)-Q80,1),0)+Q80,999),IFERROR(MATCH("*Doctorate*",OFFSET(Budget!#REF!,Q80,0,ROWS(#REF!)-Q80,1),0)+Q80,999)),"")</f>
        <v>#REF!</v>
      </c>
      <c r="R81" s="113" t="str">
        <f ca="1">IFERROR(INDEX(#REF!,Q81),"")</f>
        <v/>
      </c>
      <c r="S81" s="113" t="str">
        <f ca="1">IFERROR(INDEX(#REF!,Q81),"")</f>
        <v/>
      </c>
      <c r="T81" s="113" t="str">
        <f ca="1">IFERROR(INDEX(#REF!,Q81),"")</f>
        <v/>
      </c>
      <c r="U81" s="113" t="str">
        <f ca="1">SUBSTITUTE(IFERROR(INDEX(#REF!,Q81),""),0,"")</f>
        <v/>
      </c>
      <c r="V81" s="132" t="str">
        <f ca="1">SUBSTITUTE(IFERROR(INDEX(#REF!,Q81),""),0,"")</f>
        <v/>
      </c>
      <c r="W81" s="113"/>
      <c r="X81" s="133" t="e">
        <f>IF(ROW(E1618)-ROW($E$1548)&lt;ROWS(#REF!),IFERROR(IF(INDEX(list_cofunders[private?],MATCH(Budget!#REF!,list_cofunders[list cofunders],0),1)="yes",Budget!#REF!,""),""),"")</f>
        <v>#REF!</v>
      </c>
      <c r="Y81" s="134" t="e">
        <f>IF(ROW(E1721)-ROW($E$1651)&lt;ROWS(#REF!),IFERROR(IF(INDEX(list_cofunders[private?],MATCH(Budget!#REF!,list_cofunders[list cofunders],0),1)="yes",Budget!#REF!,""),""),"")</f>
        <v>#REF!</v>
      </c>
      <c r="Z81" s="113" t="str">
        <f>IFERROR(INDEX(#REF!,X81),"")</f>
        <v/>
      </c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CZ81" s="22"/>
      <c r="DA81" s="22"/>
      <c r="DB81" s="22"/>
      <c r="DC81" s="22"/>
      <c r="DD81" s="22"/>
      <c r="DE81" s="22"/>
      <c r="DF81" s="22"/>
      <c r="DG81" s="22"/>
      <c r="DH81" s="22"/>
    </row>
    <row r="82" spans="2:112" s="21" customFormat="1" ht="11.25" customHeight="1" outlineLevel="1" x14ac:dyDescent="0.35">
      <c r="B82" s="83" t="e">
        <f ca="1">IF(IFERROR(MATCH("*Other*",OFFSET(Budget!#REF!,B81,0,ROWS(#REF!),1),0)+B81,999)&lt;ROWS(#REF!),IFERROR(MATCH("*Other*",OFFSET(Budget!#REF!,B81,0,ROWS(#REF!),1),0)+B81,999),"")</f>
        <v>#REF!</v>
      </c>
      <c r="C82" s="70" t="str">
        <f ca="1">IFERROR(INDEX(#REF!,B82),"")</f>
        <v/>
      </c>
      <c r="E82" s="83" t="e">
        <f ca="1">IF(MIN(IFERROR(MATCH("*PostDoc*",OFFSET(Budget!#REF!,E81,0,ROWS(#REF!),1),0)+E81,999),IFERROR(MATCH("*PhD*",OFFSET(Budget!#REF!,E81,0,ROWS(#REF!),1),0)+E81,999),IFERROR(MATCH("*PDEng*",OFFSET(Budget!#REF!,E81,0,ROWS(#REF!),1),0)+E81,999))&lt;ROWS(#REF!),MIN(IFERROR(MATCH("*PostDoc*",OFFSET(Budget!#REF!,E81,0,ROWS(#REF!),1),0)+E81,999),IFERROR(MATCH("*PhD*",OFFSET(Budget!#REF!,E81,0,ROWS(#REF!),1),0)+E81,999),IFERROR(MATCH("*PDEng*",OFFSET(Budget!#REF!,E81,0,ROWS(#REF!),1),0)+E81,999)),"")</f>
        <v>#REF!</v>
      </c>
      <c r="F82" s="74" t="str">
        <f ca="1">IFERROR(INDEX(#REF!,E82)*INDEX(#REF!,E82)/12,"")</f>
        <v/>
      </c>
      <c r="G82" s="90"/>
      <c r="H82" s="83" t="e">
        <f ca="1">IF(IFERROR(MATCH("*researcher*",OFFSET(Budget!#REF!,H81,0,ROWS(#REF!),1),0)+H81,999)&lt;ROWS(#REF!),IFERROR(MATCH("*researcher*",OFFSET(Budget!#REF!,H81,0,ROWS(#REF!),1),0)+H81,999),"")</f>
        <v>#REF!</v>
      </c>
      <c r="I82" s="74" t="str">
        <f ca="1">IF(ISERROR(IF(AND(INDEX(#REF!,H82)&gt;=pers_oi_min_months,INDEX(#REF!,H82)/INDEX(#REF!,H82)*12/pers_other_nrhours_year&gt;=pers_oi_minFTE)=TRUE,INDEX(#REF!,H82)/12,0)),"",IF(AND(INDEX(#REF!,H82)&gt;=pers_oi_min_months,INDEX(#REF!,H82)/INDEX(#REF!,H82)*12/pers_other_nrhours_year&gt;=pers_oi_minFTE)=TRUE,INDEX(#REF!,H82)/12,""))</f>
        <v/>
      </c>
      <c r="J82" s="90"/>
      <c r="K82" s="83" t="e">
        <f ca="1">IF(IFERROR(MATCH("*Non-scientific*",OFFSET(Budget!#REF!,K81,0,ROWS(#REF!),1),0)+K81,999)&lt;ROWS(#REF!),IFERROR(MATCH("*Non-scientific*",OFFSET(Budget!#REF!,K81,0,ROWS(#REF!),1),0)+K81,999),"")</f>
        <v>#REF!</v>
      </c>
      <c r="L82" s="70" t="str">
        <f ca="1">IFERROR(INDEX(#REF!,K82),"")</f>
        <v/>
      </c>
      <c r="M82" s="113"/>
      <c r="N82" s="83" t="e">
        <f ca="1">IF(IFERROR(MATCH("*leave*",OFFSET(Budget!#REF!,N81,0,ROWS(#REF!),1),0)+N81,999)&lt;ROWS(#REF!),IFERROR(MATCH("*leave*",OFFSET(Budget!#REF!,N81,0,ROWS(#REF!),1),0)+N81,999),"")</f>
        <v>#REF!</v>
      </c>
      <c r="O82" s="88" t="str">
        <f ca="1">IFERROR(INDEX(#REF!,N82)*INDEX(#REF!,N82),"")</f>
        <v/>
      </c>
      <c r="P82" s="113"/>
      <c r="Q82" s="83" t="e">
        <f ca="1">IF(MIN(IFERROR(MATCH("*PostDoc*",OFFSET(Budget!#REF!,Q81,0,ROWS(#REF!)-Q81,1),0)+Q81,999),IFERROR(MATCH("*PhD*",OFFSET(Budget!#REF!,Q81,0,ROWS(#REF!)-Q81,1),0)+Q81,999),IFERROR(MATCH("*PDEng*",OFFSET(Budget!#REF!,Q81,0,ROWS(#REF!)-Q81,1),0)+Q81,999),IFERROR(MATCH("*Doctorate*",OFFSET(Budget!#REF!,Q81,0,ROWS(#REF!)-Q81,1),0)+Q81,999))&lt;ROWS(#REF!),MIN(IFERROR(MATCH("*PostDoc*",OFFSET(Budget!#REF!,Q81,0,ROWS(#REF!)-Q81,1),0)+Q81,999),IFERROR(MATCH("*PhD*",OFFSET(Budget!#REF!,Q81,0,ROWS(#REF!)-Q81,1),0)+Q81,999),IFERROR(MATCH("*PDEng*",OFFSET(Budget!#REF!,Q81,0,ROWS(#REF!)-Q81,1),0)+Q81,999),IFERROR(MATCH("*Doctorate*",OFFSET(Budget!#REF!,Q81,0,ROWS(#REF!)-Q81,1),0)+Q81,999)),"")</f>
        <v>#REF!</v>
      </c>
      <c r="R82" s="113" t="str">
        <f ca="1">IFERROR(INDEX(#REF!,Q82),"")</f>
        <v/>
      </c>
      <c r="S82" s="113" t="str">
        <f ca="1">IFERROR(INDEX(#REF!,Q82),"")</f>
        <v/>
      </c>
      <c r="T82" s="113" t="str">
        <f ca="1">IFERROR(INDEX(#REF!,Q82),"")</f>
        <v/>
      </c>
      <c r="U82" s="113" t="str">
        <f ca="1">SUBSTITUTE(IFERROR(INDEX(#REF!,Q82),""),0,"")</f>
        <v/>
      </c>
      <c r="V82" s="132" t="str">
        <f ca="1">SUBSTITUTE(IFERROR(INDEX(#REF!,Q82),""),0,"")</f>
        <v/>
      </c>
      <c r="W82" s="113"/>
      <c r="X82" s="133" t="e">
        <f>IF(ROW(E1619)-ROW($E$1548)&lt;ROWS(#REF!),IFERROR(IF(INDEX(list_cofunders[private?],MATCH(Budget!#REF!,list_cofunders[list cofunders],0),1)="yes",Budget!#REF!,""),""),"")</f>
        <v>#REF!</v>
      </c>
      <c r="Y82" s="134" t="e">
        <f>IF(ROW(E1722)-ROW($E$1651)&lt;ROWS(#REF!),IFERROR(IF(INDEX(list_cofunders[private?],MATCH(Budget!#REF!,list_cofunders[list cofunders],0),1)="yes",Budget!#REF!,""),""),"")</f>
        <v>#REF!</v>
      </c>
      <c r="Z82" s="113" t="str">
        <f>IFERROR(INDEX(#REF!,X82),"")</f>
        <v/>
      </c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CZ82" s="22"/>
      <c r="DA82" s="22"/>
      <c r="DB82" s="22"/>
      <c r="DC82" s="22"/>
      <c r="DD82" s="22"/>
      <c r="DE82" s="22"/>
      <c r="DF82" s="22"/>
      <c r="DG82" s="22"/>
      <c r="DH82" s="22"/>
    </row>
    <row r="83" spans="2:112" s="21" customFormat="1" ht="11.25" customHeight="1" outlineLevel="1" x14ac:dyDescent="0.35">
      <c r="B83" s="83" t="e">
        <f ca="1">IF(IFERROR(MATCH("*Other*",OFFSET(Budget!#REF!,B82,0,ROWS(#REF!),1),0)+B82,999)&lt;ROWS(#REF!),IFERROR(MATCH("*Other*",OFFSET(Budget!#REF!,B82,0,ROWS(#REF!),1),0)+B82,999),"")</f>
        <v>#REF!</v>
      </c>
      <c r="C83" s="70" t="str">
        <f ca="1">IFERROR(INDEX(#REF!,B83),"")</f>
        <v/>
      </c>
      <c r="E83" s="83" t="e">
        <f ca="1">IF(MIN(IFERROR(MATCH("*PostDoc*",OFFSET(Budget!#REF!,E82,0,ROWS(#REF!),1),0)+E82,999),IFERROR(MATCH("*PhD*",OFFSET(Budget!#REF!,E82,0,ROWS(#REF!),1),0)+E82,999),IFERROR(MATCH("*PDEng*",OFFSET(Budget!#REF!,E82,0,ROWS(#REF!),1),0)+E82,999))&lt;ROWS(#REF!),MIN(IFERROR(MATCH("*PostDoc*",OFFSET(Budget!#REF!,E82,0,ROWS(#REF!),1),0)+E82,999),IFERROR(MATCH("*PhD*",OFFSET(Budget!#REF!,E82,0,ROWS(#REF!),1),0)+E82,999),IFERROR(MATCH("*PDEng*",OFFSET(Budget!#REF!,E82,0,ROWS(#REF!),1),0)+E82,999)),"")</f>
        <v>#REF!</v>
      </c>
      <c r="F83" s="74" t="str">
        <f ca="1">IFERROR(INDEX(#REF!,E83)*INDEX(#REF!,E83)/12,"")</f>
        <v/>
      </c>
      <c r="G83" s="90"/>
      <c r="H83" s="83" t="e">
        <f ca="1">IF(IFERROR(MATCH("*researcher*",OFFSET(Budget!#REF!,H82,0,ROWS(#REF!),1),0)+H82,999)&lt;ROWS(#REF!),IFERROR(MATCH("*researcher*",OFFSET(Budget!#REF!,H82,0,ROWS(#REF!),1),0)+H82,999),"")</f>
        <v>#REF!</v>
      </c>
      <c r="I83" s="74" t="str">
        <f ca="1">IF(ISERROR(IF(AND(INDEX(#REF!,H83)&gt;=pers_oi_min_months,INDEX(#REF!,H83)/INDEX(#REF!,H83)*12/pers_other_nrhours_year&gt;=pers_oi_minFTE)=TRUE,INDEX(#REF!,H83)/12,0)),"",IF(AND(INDEX(#REF!,H83)&gt;=pers_oi_min_months,INDEX(#REF!,H83)/INDEX(#REF!,H83)*12/pers_other_nrhours_year&gt;=pers_oi_minFTE)=TRUE,INDEX(#REF!,H83)/12,""))</f>
        <v/>
      </c>
      <c r="J83" s="90"/>
      <c r="K83" s="83" t="e">
        <f ca="1">IF(IFERROR(MATCH("*Non-scientific*",OFFSET(Budget!#REF!,K82,0,ROWS(#REF!),1),0)+K82,999)&lt;ROWS(#REF!),IFERROR(MATCH("*Non-scientific*",OFFSET(Budget!#REF!,K82,0,ROWS(#REF!),1),0)+K82,999),"")</f>
        <v>#REF!</v>
      </c>
      <c r="L83" s="70" t="str">
        <f ca="1">IFERROR(INDEX(#REF!,K83),"")</f>
        <v/>
      </c>
      <c r="M83" s="113"/>
      <c r="N83" s="83" t="e">
        <f ca="1">IF(IFERROR(MATCH("*leave*",OFFSET(Budget!#REF!,N82,0,ROWS(#REF!),1),0)+N82,999)&lt;ROWS(#REF!),IFERROR(MATCH("*leave*",OFFSET(Budget!#REF!,N82,0,ROWS(#REF!),1),0)+N82,999),"")</f>
        <v>#REF!</v>
      </c>
      <c r="O83" s="88" t="str">
        <f ca="1">IFERROR(INDEX(#REF!,N83)*INDEX(#REF!,N83),"")</f>
        <v/>
      </c>
      <c r="P83" s="113"/>
      <c r="Q83" s="83" t="e">
        <f ca="1">IF(MIN(IFERROR(MATCH("*PostDoc*",OFFSET(Budget!#REF!,Q82,0,ROWS(#REF!)-Q82,1),0)+Q82,999),IFERROR(MATCH("*PhD*",OFFSET(Budget!#REF!,Q82,0,ROWS(#REF!)-Q82,1),0)+Q82,999),IFERROR(MATCH("*PDEng*",OFFSET(Budget!#REF!,Q82,0,ROWS(#REF!)-Q82,1),0)+Q82,999),IFERROR(MATCH("*Doctorate*",OFFSET(Budget!#REF!,Q82,0,ROWS(#REF!)-Q82,1),0)+Q82,999))&lt;ROWS(#REF!),MIN(IFERROR(MATCH("*PostDoc*",OFFSET(Budget!#REF!,Q82,0,ROWS(#REF!)-Q82,1),0)+Q82,999),IFERROR(MATCH("*PhD*",OFFSET(Budget!#REF!,Q82,0,ROWS(#REF!)-Q82,1),0)+Q82,999),IFERROR(MATCH("*PDEng*",OFFSET(Budget!#REF!,Q82,0,ROWS(#REF!)-Q82,1),0)+Q82,999),IFERROR(MATCH("*Doctorate*",OFFSET(Budget!#REF!,Q82,0,ROWS(#REF!)-Q82,1),0)+Q82,999)),"")</f>
        <v>#REF!</v>
      </c>
      <c r="R83" s="113" t="str">
        <f ca="1">IFERROR(INDEX(#REF!,Q83),"")</f>
        <v/>
      </c>
      <c r="S83" s="113" t="str">
        <f ca="1">IFERROR(INDEX(#REF!,Q83),"")</f>
        <v/>
      </c>
      <c r="T83" s="113" t="str">
        <f ca="1">IFERROR(INDEX(#REF!,Q83),"")</f>
        <v/>
      </c>
      <c r="U83" s="113" t="str">
        <f ca="1">SUBSTITUTE(IFERROR(INDEX(#REF!,Q83),""),0,"")</f>
        <v/>
      </c>
      <c r="V83" s="132" t="str">
        <f ca="1">SUBSTITUTE(IFERROR(INDEX(#REF!,Q83),""),0,"")</f>
        <v/>
      </c>
      <c r="W83" s="113"/>
      <c r="X83" s="133" t="e">
        <f>IF(ROW(E1620)-ROW($E$1548)&lt;ROWS(#REF!),IFERROR(IF(INDEX(list_cofunders[private?],MATCH(Budget!#REF!,list_cofunders[list cofunders],0),1)="yes",Budget!#REF!,""),""),"")</f>
        <v>#REF!</v>
      </c>
      <c r="Y83" s="134" t="e">
        <f>IF(ROW(E1723)-ROW($E$1651)&lt;ROWS(#REF!),IFERROR(IF(INDEX(list_cofunders[private?],MATCH(Budget!#REF!,list_cofunders[list cofunders],0),1)="yes",Budget!#REF!,""),""),"")</f>
        <v>#REF!</v>
      </c>
      <c r="Z83" s="113" t="str">
        <f>IFERROR(INDEX(#REF!,X83),"")</f>
        <v/>
      </c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CZ83" s="22"/>
      <c r="DA83" s="22"/>
      <c r="DB83" s="22"/>
      <c r="DC83" s="22"/>
      <c r="DD83" s="22"/>
      <c r="DE83" s="22"/>
      <c r="DF83" s="22"/>
      <c r="DG83" s="22"/>
      <c r="DH83" s="22"/>
    </row>
    <row r="84" spans="2:112" s="21" customFormat="1" ht="11.25" customHeight="1" outlineLevel="1" x14ac:dyDescent="0.35">
      <c r="B84" s="83" t="e">
        <f ca="1">IF(IFERROR(MATCH("*Other*",OFFSET(Budget!#REF!,B83,0,ROWS(#REF!),1),0)+B83,999)&lt;ROWS(#REF!),IFERROR(MATCH("*Other*",OFFSET(Budget!#REF!,B83,0,ROWS(#REF!),1),0)+B83,999),"")</f>
        <v>#REF!</v>
      </c>
      <c r="C84" s="70" t="str">
        <f ca="1">IFERROR(INDEX(#REF!,B84),"")</f>
        <v/>
      </c>
      <c r="E84" s="83" t="e">
        <f ca="1">IF(MIN(IFERROR(MATCH("*PostDoc*",OFFSET(Budget!#REF!,E83,0,ROWS(#REF!),1),0)+E83,999),IFERROR(MATCH("*PhD*",OFFSET(Budget!#REF!,E83,0,ROWS(#REF!),1),0)+E83,999),IFERROR(MATCH("*PDEng*",OFFSET(Budget!#REF!,E83,0,ROWS(#REF!),1),0)+E83,999))&lt;ROWS(#REF!),MIN(IFERROR(MATCH("*PostDoc*",OFFSET(Budget!#REF!,E83,0,ROWS(#REF!),1),0)+E83,999),IFERROR(MATCH("*PhD*",OFFSET(Budget!#REF!,E83,0,ROWS(#REF!),1),0)+E83,999),IFERROR(MATCH("*PDEng*",OFFSET(Budget!#REF!,E83,0,ROWS(#REF!),1),0)+E83,999)),"")</f>
        <v>#REF!</v>
      </c>
      <c r="F84" s="74" t="str">
        <f ca="1">IFERROR(INDEX(#REF!,E84)*INDEX(#REF!,E84)/12,"")</f>
        <v/>
      </c>
      <c r="G84" s="90"/>
      <c r="H84" s="83" t="e">
        <f ca="1">IF(IFERROR(MATCH("*researcher*",OFFSET(Budget!#REF!,H83,0,ROWS(#REF!),1),0)+H83,999)&lt;ROWS(#REF!),IFERROR(MATCH("*researcher*",OFFSET(Budget!#REF!,H83,0,ROWS(#REF!),1),0)+H83,999),"")</f>
        <v>#REF!</v>
      </c>
      <c r="I84" s="74" t="str">
        <f ca="1">IF(ISERROR(IF(AND(INDEX(#REF!,H84)&gt;=pers_oi_min_months,INDEX(#REF!,H84)/INDEX(#REF!,H84)*12/pers_other_nrhours_year&gt;=pers_oi_minFTE)=TRUE,INDEX(#REF!,H84)/12,0)),"",IF(AND(INDEX(#REF!,H84)&gt;=pers_oi_min_months,INDEX(#REF!,H84)/INDEX(#REF!,H84)*12/pers_other_nrhours_year&gt;=pers_oi_minFTE)=TRUE,INDEX(#REF!,H84)/12,""))</f>
        <v/>
      </c>
      <c r="J84" s="90"/>
      <c r="K84" s="83" t="e">
        <f ca="1">IF(IFERROR(MATCH("*Non-scientific*",OFFSET(Budget!#REF!,K83,0,ROWS(#REF!),1),0)+K83,999)&lt;ROWS(#REF!),IFERROR(MATCH("*Non-scientific*",OFFSET(Budget!#REF!,K83,0,ROWS(#REF!),1),0)+K83,999),"")</f>
        <v>#REF!</v>
      </c>
      <c r="L84" s="70" t="str">
        <f ca="1">IFERROR(INDEX(#REF!,K84),"")</f>
        <v/>
      </c>
      <c r="M84" s="113"/>
      <c r="N84" s="83" t="e">
        <f ca="1">IF(IFERROR(MATCH("*leave*",OFFSET(Budget!#REF!,N83,0,ROWS(#REF!),1),0)+N83,999)&lt;ROWS(#REF!),IFERROR(MATCH("*leave*",OFFSET(Budget!#REF!,N83,0,ROWS(#REF!),1),0)+N83,999),"")</f>
        <v>#REF!</v>
      </c>
      <c r="O84" s="88" t="str">
        <f ca="1">IFERROR(INDEX(#REF!,N84)*INDEX(#REF!,N84),"")</f>
        <v/>
      </c>
      <c r="P84" s="113"/>
      <c r="Q84" s="83" t="e">
        <f ca="1">IF(MIN(IFERROR(MATCH("*PostDoc*",OFFSET(Budget!#REF!,Q83,0,ROWS(#REF!)-Q83,1),0)+Q83,999),IFERROR(MATCH("*PhD*",OFFSET(Budget!#REF!,Q83,0,ROWS(#REF!)-Q83,1),0)+Q83,999),IFERROR(MATCH("*PDEng*",OFFSET(Budget!#REF!,Q83,0,ROWS(#REF!)-Q83,1),0)+Q83,999),IFERROR(MATCH("*Doctorate*",OFFSET(Budget!#REF!,Q83,0,ROWS(#REF!)-Q83,1),0)+Q83,999))&lt;ROWS(#REF!),MIN(IFERROR(MATCH("*PostDoc*",OFFSET(Budget!#REF!,Q83,0,ROWS(#REF!)-Q83,1),0)+Q83,999),IFERROR(MATCH("*PhD*",OFFSET(Budget!#REF!,Q83,0,ROWS(#REF!)-Q83,1),0)+Q83,999),IFERROR(MATCH("*PDEng*",OFFSET(Budget!#REF!,Q83,0,ROWS(#REF!)-Q83,1),0)+Q83,999),IFERROR(MATCH("*Doctorate*",OFFSET(Budget!#REF!,Q83,0,ROWS(#REF!)-Q83,1),0)+Q83,999)),"")</f>
        <v>#REF!</v>
      </c>
      <c r="R84" s="113" t="str">
        <f ca="1">IFERROR(INDEX(#REF!,Q84),"")</f>
        <v/>
      </c>
      <c r="S84" s="113" t="str">
        <f ca="1">IFERROR(INDEX(#REF!,Q84),"")</f>
        <v/>
      </c>
      <c r="T84" s="113" t="str">
        <f ca="1">IFERROR(INDEX(#REF!,Q84),"")</f>
        <v/>
      </c>
      <c r="U84" s="113" t="str">
        <f ca="1">SUBSTITUTE(IFERROR(INDEX(#REF!,Q84),""),0,"")</f>
        <v/>
      </c>
      <c r="V84" s="132" t="str">
        <f ca="1">SUBSTITUTE(IFERROR(INDEX(#REF!,Q84),""),0,"")</f>
        <v/>
      </c>
      <c r="W84" s="113"/>
      <c r="X84" s="133" t="e">
        <f>IF(ROW(E1621)-ROW($E$1548)&lt;ROWS(#REF!),IFERROR(IF(INDEX(list_cofunders[private?],MATCH(Budget!#REF!,list_cofunders[list cofunders],0),1)="yes",Budget!#REF!,""),""),"")</f>
        <v>#REF!</v>
      </c>
      <c r="Y84" s="134" t="e">
        <f>IF(ROW(E1724)-ROW($E$1651)&lt;ROWS(#REF!),IFERROR(IF(INDEX(list_cofunders[private?],MATCH(Budget!#REF!,list_cofunders[list cofunders],0),1)="yes",Budget!#REF!,""),""),"")</f>
        <v>#REF!</v>
      </c>
      <c r="Z84" s="113" t="str">
        <f>IFERROR(INDEX(#REF!,X84),"")</f>
        <v/>
      </c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CZ84" s="22"/>
      <c r="DA84" s="22"/>
      <c r="DB84" s="22"/>
      <c r="DC84" s="22"/>
      <c r="DD84" s="22"/>
      <c r="DE84" s="22"/>
      <c r="DF84" s="22"/>
      <c r="DG84" s="22"/>
      <c r="DH84" s="22"/>
    </row>
    <row r="85" spans="2:112" s="21" customFormat="1" ht="11.25" customHeight="1" outlineLevel="1" x14ac:dyDescent="0.35">
      <c r="B85" s="83" t="e">
        <f ca="1">IF(IFERROR(MATCH("*Other*",OFFSET(Budget!#REF!,B84,0,ROWS(#REF!),1),0)+B84,999)&lt;ROWS(#REF!),IFERROR(MATCH("*Other*",OFFSET(Budget!#REF!,B84,0,ROWS(#REF!),1),0)+B84,999),"")</f>
        <v>#REF!</v>
      </c>
      <c r="C85" s="70" t="str">
        <f ca="1">IFERROR(INDEX(#REF!,B85),"")</f>
        <v/>
      </c>
      <c r="E85" s="83" t="e">
        <f ca="1">IF(MIN(IFERROR(MATCH("*PostDoc*",OFFSET(Budget!#REF!,E84,0,ROWS(#REF!),1),0)+E84,999),IFERROR(MATCH("*PhD*",OFFSET(Budget!#REF!,E84,0,ROWS(#REF!),1),0)+E84,999),IFERROR(MATCH("*PDEng*",OFFSET(Budget!#REF!,E84,0,ROWS(#REF!),1),0)+E84,999))&lt;ROWS(#REF!),MIN(IFERROR(MATCH("*PostDoc*",OFFSET(Budget!#REF!,E84,0,ROWS(#REF!),1),0)+E84,999),IFERROR(MATCH("*PhD*",OFFSET(Budget!#REF!,E84,0,ROWS(#REF!),1),0)+E84,999),IFERROR(MATCH("*PDEng*",OFFSET(Budget!#REF!,E84,0,ROWS(#REF!),1),0)+E84,999)),"")</f>
        <v>#REF!</v>
      </c>
      <c r="F85" s="74" t="str">
        <f ca="1">IFERROR(INDEX(#REF!,E85)*INDEX(#REF!,E85)/12,"")</f>
        <v/>
      </c>
      <c r="G85" s="90"/>
      <c r="H85" s="83" t="e">
        <f ca="1">IF(IFERROR(MATCH("*researcher*",OFFSET(Budget!#REF!,H84,0,ROWS(#REF!),1),0)+H84,999)&lt;ROWS(#REF!),IFERROR(MATCH("*researcher*",OFFSET(Budget!#REF!,H84,0,ROWS(#REF!),1),0)+H84,999),"")</f>
        <v>#REF!</v>
      </c>
      <c r="I85" s="74" t="str">
        <f ca="1">IF(ISERROR(IF(AND(INDEX(#REF!,H85)&gt;=pers_oi_min_months,INDEX(#REF!,H85)/INDEX(#REF!,H85)*12/pers_other_nrhours_year&gt;=pers_oi_minFTE)=TRUE,INDEX(#REF!,H85)/12,0)),"",IF(AND(INDEX(#REF!,H85)&gt;=pers_oi_min_months,INDEX(#REF!,H85)/INDEX(#REF!,H85)*12/pers_other_nrhours_year&gt;=pers_oi_minFTE)=TRUE,INDEX(#REF!,H85)/12,""))</f>
        <v/>
      </c>
      <c r="J85" s="90"/>
      <c r="K85" s="83" t="e">
        <f ca="1">IF(IFERROR(MATCH("*Non-scientific*",OFFSET(Budget!#REF!,K84,0,ROWS(#REF!),1),0)+K84,999)&lt;ROWS(#REF!),IFERROR(MATCH("*Non-scientific*",OFFSET(Budget!#REF!,K84,0,ROWS(#REF!),1),0)+K84,999),"")</f>
        <v>#REF!</v>
      </c>
      <c r="L85" s="70" t="str">
        <f ca="1">IFERROR(INDEX(#REF!,K85),"")</f>
        <v/>
      </c>
      <c r="M85" s="113"/>
      <c r="N85" s="83" t="e">
        <f ca="1">IF(IFERROR(MATCH("*leave*",OFFSET(Budget!#REF!,N84,0,ROWS(#REF!),1),0)+N84,999)&lt;ROWS(#REF!),IFERROR(MATCH("*leave*",OFFSET(Budget!#REF!,N84,0,ROWS(#REF!),1),0)+N84,999),"")</f>
        <v>#REF!</v>
      </c>
      <c r="O85" s="88" t="str">
        <f ca="1">IFERROR(INDEX(#REF!,N85)*INDEX(#REF!,N85),"")</f>
        <v/>
      </c>
      <c r="P85" s="113"/>
      <c r="Q85" s="83" t="e">
        <f ca="1">IF(MIN(IFERROR(MATCH("*PostDoc*",OFFSET(Budget!#REF!,Q84,0,ROWS(#REF!)-Q84,1),0)+Q84,999),IFERROR(MATCH("*PhD*",OFFSET(Budget!#REF!,Q84,0,ROWS(#REF!)-Q84,1),0)+Q84,999),IFERROR(MATCH("*PDEng*",OFFSET(Budget!#REF!,Q84,0,ROWS(#REF!)-Q84,1),0)+Q84,999),IFERROR(MATCH("*Doctorate*",OFFSET(Budget!#REF!,Q84,0,ROWS(#REF!)-Q84,1),0)+Q84,999))&lt;ROWS(#REF!),MIN(IFERROR(MATCH("*PostDoc*",OFFSET(Budget!#REF!,Q84,0,ROWS(#REF!)-Q84,1),0)+Q84,999),IFERROR(MATCH("*PhD*",OFFSET(Budget!#REF!,Q84,0,ROWS(#REF!)-Q84,1),0)+Q84,999),IFERROR(MATCH("*PDEng*",OFFSET(Budget!#REF!,Q84,0,ROWS(#REF!)-Q84,1),0)+Q84,999),IFERROR(MATCH("*Doctorate*",OFFSET(Budget!#REF!,Q84,0,ROWS(#REF!)-Q84,1),0)+Q84,999)),"")</f>
        <v>#REF!</v>
      </c>
      <c r="R85" s="113" t="str">
        <f ca="1">IFERROR(INDEX(#REF!,Q85),"")</f>
        <v/>
      </c>
      <c r="S85" s="113" t="str">
        <f ca="1">IFERROR(INDEX(#REF!,Q85),"")</f>
        <v/>
      </c>
      <c r="T85" s="113" t="str">
        <f ca="1">IFERROR(INDEX(#REF!,Q85),"")</f>
        <v/>
      </c>
      <c r="U85" s="113" t="str">
        <f ca="1">SUBSTITUTE(IFERROR(INDEX(#REF!,Q85),""),0,"")</f>
        <v/>
      </c>
      <c r="V85" s="132" t="str">
        <f ca="1">SUBSTITUTE(IFERROR(INDEX(#REF!,Q85),""),0,"")</f>
        <v/>
      </c>
      <c r="W85" s="113"/>
      <c r="X85" s="133" t="e">
        <f>IF(ROW(E1622)-ROW($E$1548)&lt;ROWS(#REF!),IFERROR(IF(INDEX(list_cofunders[private?],MATCH(Budget!#REF!,list_cofunders[list cofunders],0),1)="yes",Budget!#REF!,""),""),"")</f>
        <v>#REF!</v>
      </c>
      <c r="Y85" s="134" t="e">
        <f>IF(ROW(E1725)-ROW($E$1651)&lt;ROWS(#REF!),IFERROR(IF(INDEX(list_cofunders[private?],MATCH(Budget!#REF!,list_cofunders[list cofunders],0),1)="yes",Budget!#REF!,""),""),"")</f>
        <v>#REF!</v>
      </c>
      <c r="Z85" s="113" t="str">
        <f>IFERROR(INDEX(#REF!,X85),"")</f>
        <v/>
      </c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CZ85" s="22"/>
      <c r="DA85" s="22"/>
      <c r="DB85" s="22"/>
      <c r="DC85" s="22"/>
      <c r="DD85" s="22"/>
      <c r="DE85" s="22"/>
      <c r="DF85" s="22"/>
      <c r="DG85" s="22"/>
      <c r="DH85" s="22"/>
    </row>
    <row r="86" spans="2:112" s="21" customFormat="1" ht="11.25" customHeight="1" outlineLevel="1" x14ac:dyDescent="0.35">
      <c r="B86" s="83" t="e">
        <f ca="1">IF(IFERROR(MATCH("*Other*",OFFSET(Budget!#REF!,B85,0,ROWS(#REF!),1),0)+B85,999)&lt;ROWS(#REF!),IFERROR(MATCH("*Other*",OFFSET(Budget!#REF!,B85,0,ROWS(#REF!),1),0)+B85,999),"")</f>
        <v>#REF!</v>
      </c>
      <c r="C86" s="70" t="str">
        <f ca="1">IFERROR(INDEX(#REF!,B86),"")</f>
        <v/>
      </c>
      <c r="E86" s="83" t="e">
        <f ca="1">IF(MIN(IFERROR(MATCH("*PostDoc*",OFFSET(Budget!#REF!,E85,0,ROWS(#REF!),1),0)+E85,999),IFERROR(MATCH("*PhD*",OFFSET(Budget!#REF!,E85,0,ROWS(#REF!),1),0)+E85,999),IFERROR(MATCH("*PDEng*",OFFSET(Budget!#REF!,E85,0,ROWS(#REF!),1),0)+E85,999))&lt;ROWS(#REF!),MIN(IFERROR(MATCH("*PostDoc*",OFFSET(Budget!#REF!,E85,0,ROWS(#REF!),1),0)+E85,999),IFERROR(MATCH("*PhD*",OFFSET(Budget!#REF!,E85,0,ROWS(#REF!),1),0)+E85,999),IFERROR(MATCH("*PDEng*",OFFSET(Budget!#REF!,E85,0,ROWS(#REF!),1),0)+E85,999)),"")</f>
        <v>#REF!</v>
      </c>
      <c r="F86" s="74" t="str">
        <f ca="1">IFERROR(INDEX(#REF!,E86)*INDEX(#REF!,E86)/12,"")</f>
        <v/>
      </c>
      <c r="G86" s="90"/>
      <c r="H86" s="83" t="e">
        <f ca="1">IF(IFERROR(MATCH("*researcher*",OFFSET(Budget!#REF!,H85,0,ROWS(#REF!),1),0)+H85,999)&lt;ROWS(#REF!),IFERROR(MATCH("*researcher*",OFFSET(Budget!#REF!,H85,0,ROWS(#REF!),1),0)+H85,999),"")</f>
        <v>#REF!</v>
      </c>
      <c r="I86" s="74" t="str">
        <f ca="1">IF(ISERROR(IF(AND(INDEX(#REF!,H86)&gt;=pers_oi_min_months,INDEX(#REF!,H86)/INDEX(#REF!,H86)*12/pers_other_nrhours_year&gt;=pers_oi_minFTE)=TRUE,INDEX(#REF!,H86)/12,0)),"",IF(AND(INDEX(#REF!,H86)&gt;=pers_oi_min_months,INDEX(#REF!,H86)/INDEX(#REF!,H86)*12/pers_other_nrhours_year&gt;=pers_oi_minFTE)=TRUE,INDEX(#REF!,H86)/12,""))</f>
        <v/>
      </c>
      <c r="J86" s="90"/>
      <c r="K86" s="83" t="e">
        <f ca="1">IF(IFERROR(MATCH("*Non-scientific*",OFFSET(Budget!#REF!,K85,0,ROWS(#REF!),1),0)+K85,999)&lt;ROWS(#REF!),IFERROR(MATCH("*Non-scientific*",OFFSET(Budget!#REF!,K85,0,ROWS(#REF!),1),0)+K85,999),"")</f>
        <v>#REF!</v>
      </c>
      <c r="L86" s="70" t="str">
        <f ca="1">IFERROR(INDEX(#REF!,K86),"")</f>
        <v/>
      </c>
      <c r="M86" s="113"/>
      <c r="N86" s="83" t="e">
        <f ca="1">IF(IFERROR(MATCH("*leave*",OFFSET(Budget!#REF!,N85,0,ROWS(#REF!),1),0)+N85,999)&lt;ROWS(#REF!),IFERROR(MATCH("*leave*",OFFSET(Budget!#REF!,N85,0,ROWS(#REF!),1),0)+N85,999),"")</f>
        <v>#REF!</v>
      </c>
      <c r="O86" s="88" t="str">
        <f ca="1">IFERROR(INDEX(#REF!,N86)*INDEX(#REF!,N86),"")</f>
        <v/>
      </c>
      <c r="P86" s="113"/>
      <c r="Q86" s="83" t="e">
        <f ca="1">IF(MIN(IFERROR(MATCH("*PostDoc*",OFFSET(Budget!#REF!,Q85,0,ROWS(#REF!)-Q85,1),0)+Q85,999),IFERROR(MATCH("*PhD*",OFFSET(Budget!#REF!,Q85,0,ROWS(#REF!)-Q85,1),0)+Q85,999),IFERROR(MATCH("*PDEng*",OFFSET(Budget!#REF!,Q85,0,ROWS(#REF!)-Q85,1),0)+Q85,999),IFERROR(MATCH("*Doctorate*",OFFSET(Budget!#REF!,Q85,0,ROWS(#REF!)-Q85,1),0)+Q85,999))&lt;ROWS(#REF!),MIN(IFERROR(MATCH("*PostDoc*",OFFSET(Budget!#REF!,Q85,0,ROWS(#REF!)-Q85,1),0)+Q85,999),IFERROR(MATCH("*PhD*",OFFSET(Budget!#REF!,Q85,0,ROWS(#REF!)-Q85,1),0)+Q85,999),IFERROR(MATCH("*PDEng*",OFFSET(Budget!#REF!,Q85,0,ROWS(#REF!)-Q85,1),0)+Q85,999),IFERROR(MATCH("*Doctorate*",OFFSET(Budget!#REF!,Q85,0,ROWS(#REF!)-Q85,1),0)+Q85,999)),"")</f>
        <v>#REF!</v>
      </c>
      <c r="R86" s="113" t="str">
        <f ca="1">IFERROR(INDEX(#REF!,Q86),"")</f>
        <v/>
      </c>
      <c r="S86" s="113" t="str">
        <f ca="1">IFERROR(INDEX(#REF!,Q86),"")</f>
        <v/>
      </c>
      <c r="T86" s="113" t="str">
        <f ca="1">IFERROR(INDEX(#REF!,Q86),"")</f>
        <v/>
      </c>
      <c r="U86" s="113" t="str">
        <f ca="1">SUBSTITUTE(IFERROR(INDEX(#REF!,Q86),""),0,"")</f>
        <v/>
      </c>
      <c r="V86" s="132" t="str">
        <f ca="1">SUBSTITUTE(IFERROR(INDEX(#REF!,Q86),""),0,"")</f>
        <v/>
      </c>
      <c r="W86" s="113"/>
      <c r="X86" s="133" t="e">
        <f>IF(ROW(E1623)-ROW($E$1548)&lt;ROWS(#REF!),IFERROR(IF(INDEX(list_cofunders[private?],MATCH(Budget!#REF!,list_cofunders[list cofunders],0),1)="yes",Budget!#REF!,""),""),"")</f>
        <v>#REF!</v>
      </c>
      <c r="Y86" s="134" t="e">
        <f>IF(ROW(E1726)-ROW($E$1651)&lt;ROWS(#REF!),IFERROR(IF(INDEX(list_cofunders[private?],MATCH(Budget!#REF!,list_cofunders[list cofunders],0),1)="yes",Budget!#REF!,""),""),"")</f>
        <v>#REF!</v>
      </c>
      <c r="Z86" s="113" t="str">
        <f>IFERROR(INDEX(#REF!,X86),"")</f>
        <v/>
      </c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CZ86" s="22"/>
      <c r="DA86" s="22"/>
      <c r="DB86" s="22"/>
      <c r="DC86" s="22"/>
      <c r="DD86" s="22"/>
      <c r="DE86" s="22"/>
      <c r="DF86" s="22"/>
      <c r="DG86" s="22"/>
      <c r="DH86" s="22"/>
    </row>
    <row r="87" spans="2:112" s="21" customFormat="1" ht="11.25" customHeight="1" outlineLevel="1" x14ac:dyDescent="0.35">
      <c r="B87" s="83" t="e">
        <f ca="1">IF(IFERROR(MATCH("*Other*",OFFSET(Budget!#REF!,B86,0,ROWS(#REF!),1),0)+B86,999)&lt;ROWS(#REF!),IFERROR(MATCH("*Other*",OFFSET(Budget!#REF!,B86,0,ROWS(#REF!),1),0)+B86,999),"")</f>
        <v>#REF!</v>
      </c>
      <c r="C87" s="70" t="str">
        <f ca="1">IFERROR(INDEX(#REF!,B87),"")</f>
        <v/>
      </c>
      <c r="E87" s="83" t="e">
        <f ca="1">IF(MIN(IFERROR(MATCH("*PostDoc*",OFFSET(Budget!#REF!,E86,0,ROWS(#REF!),1),0)+E86,999),IFERROR(MATCH("*PhD*",OFFSET(Budget!#REF!,E86,0,ROWS(#REF!),1),0)+E86,999),IFERROR(MATCH("*PDEng*",OFFSET(Budget!#REF!,E86,0,ROWS(#REF!),1),0)+E86,999))&lt;ROWS(#REF!),MIN(IFERROR(MATCH("*PostDoc*",OFFSET(Budget!#REF!,E86,0,ROWS(#REF!),1),0)+E86,999),IFERROR(MATCH("*PhD*",OFFSET(Budget!#REF!,E86,0,ROWS(#REF!),1),0)+E86,999),IFERROR(MATCH("*PDEng*",OFFSET(Budget!#REF!,E86,0,ROWS(#REF!),1),0)+E86,999)),"")</f>
        <v>#REF!</v>
      </c>
      <c r="F87" s="74" t="str">
        <f ca="1">IFERROR(INDEX(#REF!,E87)*INDEX(#REF!,E87)/12,"")</f>
        <v/>
      </c>
      <c r="G87" s="90"/>
      <c r="H87" s="83" t="e">
        <f ca="1">IF(IFERROR(MATCH("*researcher*",OFFSET(Budget!#REF!,H86,0,ROWS(#REF!),1),0)+H86,999)&lt;ROWS(#REF!),IFERROR(MATCH("*researcher*",OFFSET(Budget!#REF!,H86,0,ROWS(#REF!),1),0)+H86,999),"")</f>
        <v>#REF!</v>
      </c>
      <c r="I87" s="74" t="str">
        <f ca="1">IF(ISERROR(IF(AND(INDEX(#REF!,H87)&gt;=pers_oi_min_months,INDEX(#REF!,H87)/INDEX(#REF!,H87)*12/pers_other_nrhours_year&gt;=pers_oi_minFTE)=TRUE,INDEX(#REF!,H87)/12,0)),"",IF(AND(INDEX(#REF!,H87)&gt;=pers_oi_min_months,INDEX(#REF!,H87)/INDEX(#REF!,H87)*12/pers_other_nrhours_year&gt;=pers_oi_minFTE)=TRUE,INDEX(#REF!,H87)/12,""))</f>
        <v/>
      </c>
      <c r="J87" s="90"/>
      <c r="K87" s="83" t="e">
        <f ca="1">IF(IFERROR(MATCH("*Non-scientific*",OFFSET(Budget!#REF!,K86,0,ROWS(#REF!),1),0)+K86,999)&lt;ROWS(#REF!),IFERROR(MATCH("*Non-scientific*",OFFSET(Budget!#REF!,K86,0,ROWS(#REF!),1),0)+K86,999),"")</f>
        <v>#REF!</v>
      </c>
      <c r="L87" s="70" t="str">
        <f ca="1">IFERROR(INDEX(#REF!,K87),"")</f>
        <v/>
      </c>
      <c r="M87" s="113"/>
      <c r="N87" s="83" t="e">
        <f ca="1">IF(IFERROR(MATCH("*leave*",OFFSET(Budget!#REF!,N86,0,ROWS(#REF!),1),0)+N86,999)&lt;ROWS(#REF!),IFERROR(MATCH("*leave*",OFFSET(Budget!#REF!,N86,0,ROWS(#REF!),1),0)+N86,999),"")</f>
        <v>#REF!</v>
      </c>
      <c r="O87" s="88" t="str">
        <f ca="1">IFERROR(INDEX(#REF!,N87)*INDEX(#REF!,N87),"")</f>
        <v/>
      </c>
      <c r="P87" s="113"/>
      <c r="Q87" s="83" t="e">
        <f ca="1">IF(MIN(IFERROR(MATCH("*PostDoc*",OFFSET(Budget!#REF!,Q86,0,ROWS(#REF!)-Q86,1),0)+Q86,999),IFERROR(MATCH("*PhD*",OFFSET(Budget!#REF!,Q86,0,ROWS(#REF!)-Q86,1),0)+Q86,999),IFERROR(MATCH("*PDEng*",OFFSET(Budget!#REF!,Q86,0,ROWS(#REF!)-Q86,1),0)+Q86,999),IFERROR(MATCH("*Doctorate*",OFFSET(Budget!#REF!,Q86,0,ROWS(#REF!)-Q86,1),0)+Q86,999))&lt;ROWS(#REF!),MIN(IFERROR(MATCH("*PostDoc*",OFFSET(Budget!#REF!,Q86,0,ROWS(#REF!)-Q86,1),0)+Q86,999),IFERROR(MATCH("*PhD*",OFFSET(Budget!#REF!,Q86,0,ROWS(#REF!)-Q86,1),0)+Q86,999),IFERROR(MATCH("*PDEng*",OFFSET(Budget!#REF!,Q86,0,ROWS(#REF!)-Q86,1),0)+Q86,999),IFERROR(MATCH("*Doctorate*",OFFSET(Budget!#REF!,Q86,0,ROWS(#REF!)-Q86,1),0)+Q86,999)),"")</f>
        <v>#REF!</v>
      </c>
      <c r="R87" s="113" t="str">
        <f ca="1">IFERROR(INDEX(#REF!,Q87),"")</f>
        <v/>
      </c>
      <c r="S87" s="113" t="str">
        <f ca="1">IFERROR(INDEX(#REF!,Q87),"")</f>
        <v/>
      </c>
      <c r="T87" s="113" t="str">
        <f ca="1">IFERROR(INDEX(#REF!,Q87),"")</f>
        <v/>
      </c>
      <c r="U87" s="113" t="str">
        <f ca="1">SUBSTITUTE(IFERROR(INDEX(#REF!,Q87),""),0,"")</f>
        <v/>
      </c>
      <c r="V87" s="132" t="str">
        <f ca="1">SUBSTITUTE(IFERROR(INDEX(#REF!,Q87),""),0,"")</f>
        <v/>
      </c>
      <c r="W87" s="113"/>
      <c r="X87" s="133" t="e">
        <f>IF(ROW(E1624)-ROW($E$1548)&lt;ROWS(#REF!),IFERROR(IF(INDEX(list_cofunders[private?],MATCH(Budget!#REF!,list_cofunders[list cofunders],0),1)="yes",Budget!#REF!,""),""),"")</f>
        <v>#REF!</v>
      </c>
      <c r="Y87" s="134" t="e">
        <f>IF(ROW(E1727)-ROW($E$1651)&lt;ROWS(#REF!),IFERROR(IF(INDEX(list_cofunders[private?],MATCH(Budget!#REF!,list_cofunders[list cofunders],0),1)="yes",Budget!#REF!,""),""),"")</f>
        <v>#REF!</v>
      </c>
      <c r="Z87" s="113" t="str">
        <f>IFERROR(INDEX(#REF!,X87),"")</f>
        <v/>
      </c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CZ87" s="22"/>
      <c r="DA87" s="22"/>
      <c r="DB87" s="22"/>
      <c r="DC87" s="22"/>
      <c r="DD87" s="22"/>
      <c r="DE87" s="22"/>
      <c r="DF87" s="22"/>
      <c r="DG87" s="22"/>
      <c r="DH87" s="22"/>
    </row>
    <row r="88" spans="2:112" s="21" customFormat="1" ht="11.25" customHeight="1" outlineLevel="1" x14ac:dyDescent="0.35">
      <c r="B88" s="83" t="e">
        <f ca="1">IF(IFERROR(MATCH("*Other*",OFFSET(Budget!#REF!,B87,0,ROWS(#REF!),1),0)+B87,999)&lt;ROWS(#REF!),IFERROR(MATCH("*Other*",OFFSET(Budget!#REF!,B87,0,ROWS(#REF!),1),0)+B87,999),"")</f>
        <v>#REF!</v>
      </c>
      <c r="C88" s="70" t="str">
        <f ca="1">IFERROR(INDEX(#REF!,B88),"")</f>
        <v/>
      </c>
      <c r="E88" s="83" t="e">
        <f ca="1">IF(MIN(IFERROR(MATCH("*PostDoc*",OFFSET(Budget!#REF!,E87,0,ROWS(#REF!),1),0)+E87,999),IFERROR(MATCH("*PhD*",OFFSET(Budget!#REF!,E87,0,ROWS(#REF!),1),0)+E87,999),IFERROR(MATCH("*PDEng*",OFFSET(Budget!#REF!,E87,0,ROWS(#REF!),1),0)+E87,999))&lt;ROWS(#REF!),MIN(IFERROR(MATCH("*PostDoc*",OFFSET(Budget!#REF!,E87,0,ROWS(#REF!),1),0)+E87,999),IFERROR(MATCH("*PhD*",OFFSET(Budget!#REF!,E87,0,ROWS(#REF!),1),0)+E87,999),IFERROR(MATCH("*PDEng*",OFFSET(Budget!#REF!,E87,0,ROWS(#REF!),1),0)+E87,999)),"")</f>
        <v>#REF!</v>
      </c>
      <c r="F88" s="74" t="str">
        <f ca="1">IFERROR(INDEX(#REF!,E88)*INDEX(#REF!,E88)/12,"")</f>
        <v/>
      </c>
      <c r="G88" s="90"/>
      <c r="H88" s="83" t="e">
        <f ca="1">IF(IFERROR(MATCH("*researcher*",OFFSET(Budget!#REF!,H87,0,ROWS(#REF!),1),0)+H87,999)&lt;ROWS(#REF!),IFERROR(MATCH("*researcher*",OFFSET(Budget!#REF!,H87,0,ROWS(#REF!),1),0)+H87,999),"")</f>
        <v>#REF!</v>
      </c>
      <c r="I88" s="74" t="str">
        <f ca="1">IF(ISERROR(IF(AND(INDEX(#REF!,H88)&gt;=pers_oi_min_months,INDEX(#REF!,H88)/INDEX(#REF!,H88)*12/pers_other_nrhours_year&gt;=pers_oi_minFTE)=TRUE,INDEX(#REF!,H88)/12,0)),"",IF(AND(INDEX(#REF!,H88)&gt;=pers_oi_min_months,INDEX(#REF!,H88)/INDEX(#REF!,H88)*12/pers_other_nrhours_year&gt;=pers_oi_minFTE)=TRUE,INDEX(#REF!,H88)/12,""))</f>
        <v/>
      </c>
      <c r="J88" s="90"/>
      <c r="K88" s="83" t="e">
        <f ca="1">IF(IFERROR(MATCH("*Non-scientific*",OFFSET(Budget!#REF!,K87,0,ROWS(#REF!),1),0)+K87,999)&lt;ROWS(#REF!),IFERROR(MATCH("*Non-scientific*",OFFSET(Budget!#REF!,K87,0,ROWS(#REF!),1),0)+K87,999),"")</f>
        <v>#REF!</v>
      </c>
      <c r="L88" s="70" t="str">
        <f ca="1">IFERROR(INDEX(#REF!,K88),"")</f>
        <v/>
      </c>
      <c r="M88" s="113"/>
      <c r="N88" s="83" t="e">
        <f ca="1">IF(IFERROR(MATCH("*leave*",OFFSET(Budget!#REF!,N87,0,ROWS(#REF!),1),0)+N87,999)&lt;ROWS(#REF!),IFERROR(MATCH("*leave*",OFFSET(Budget!#REF!,N87,0,ROWS(#REF!),1),0)+N87,999),"")</f>
        <v>#REF!</v>
      </c>
      <c r="O88" s="88" t="str">
        <f ca="1">IFERROR(INDEX(#REF!,N88)*INDEX(#REF!,N88),"")</f>
        <v/>
      </c>
      <c r="P88" s="113"/>
      <c r="Q88" s="83" t="e">
        <f ca="1">IF(MIN(IFERROR(MATCH("*PostDoc*",OFFSET(Budget!#REF!,Q87,0,ROWS(#REF!)-Q87,1),0)+Q87,999),IFERROR(MATCH("*PhD*",OFFSET(Budget!#REF!,Q87,0,ROWS(#REF!)-Q87,1),0)+Q87,999),IFERROR(MATCH("*PDEng*",OFFSET(Budget!#REF!,Q87,0,ROWS(#REF!)-Q87,1),0)+Q87,999),IFERROR(MATCH("*Doctorate*",OFFSET(Budget!#REF!,Q87,0,ROWS(#REF!)-Q87,1),0)+Q87,999))&lt;ROWS(#REF!),MIN(IFERROR(MATCH("*PostDoc*",OFFSET(Budget!#REF!,Q87,0,ROWS(#REF!)-Q87,1),0)+Q87,999),IFERROR(MATCH("*PhD*",OFFSET(Budget!#REF!,Q87,0,ROWS(#REF!)-Q87,1),0)+Q87,999),IFERROR(MATCH("*PDEng*",OFFSET(Budget!#REF!,Q87,0,ROWS(#REF!)-Q87,1),0)+Q87,999),IFERROR(MATCH("*Doctorate*",OFFSET(Budget!#REF!,Q87,0,ROWS(#REF!)-Q87,1),0)+Q87,999)),"")</f>
        <v>#REF!</v>
      </c>
      <c r="R88" s="113" t="str">
        <f ca="1">IFERROR(INDEX(#REF!,Q88),"")</f>
        <v/>
      </c>
      <c r="S88" s="113" t="str">
        <f ca="1">IFERROR(INDEX(#REF!,Q88),"")</f>
        <v/>
      </c>
      <c r="T88" s="113" t="str">
        <f ca="1">IFERROR(INDEX(#REF!,Q88),"")</f>
        <v/>
      </c>
      <c r="U88" s="113" t="str">
        <f ca="1">SUBSTITUTE(IFERROR(INDEX(#REF!,Q88),""),0,"")</f>
        <v/>
      </c>
      <c r="V88" s="132" t="str">
        <f ca="1">SUBSTITUTE(IFERROR(INDEX(#REF!,Q88),""),0,"")</f>
        <v/>
      </c>
      <c r="W88" s="113"/>
      <c r="X88" s="133" t="e">
        <f>IF(ROW(E1625)-ROW($E$1548)&lt;ROWS(#REF!),IFERROR(IF(INDEX(list_cofunders[private?],MATCH(Budget!#REF!,list_cofunders[list cofunders],0),1)="yes",Budget!#REF!,""),""),"")</f>
        <v>#REF!</v>
      </c>
      <c r="Y88" s="134" t="e">
        <f>IF(ROW(E1728)-ROW($E$1651)&lt;ROWS(#REF!),IFERROR(IF(INDEX(list_cofunders[private?],MATCH(Budget!#REF!,list_cofunders[list cofunders],0),1)="yes",Budget!#REF!,""),""),"")</f>
        <v>#REF!</v>
      </c>
      <c r="Z88" s="113" t="str">
        <f>IFERROR(INDEX(#REF!,X88),"")</f>
        <v/>
      </c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CZ88" s="22"/>
      <c r="DA88" s="22"/>
      <c r="DB88" s="22"/>
      <c r="DC88" s="22"/>
      <c r="DD88" s="22"/>
      <c r="DE88" s="22"/>
      <c r="DF88" s="22"/>
      <c r="DG88" s="22"/>
      <c r="DH88" s="22"/>
    </row>
    <row r="89" spans="2:112" s="21" customFormat="1" ht="11.25" customHeight="1" outlineLevel="1" x14ac:dyDescent="0.35">
      <c r="B89" s="83" t="e">
        <f ca="1">IF(IFERROR(MATCH("*Other*",OFFSET(Budget!#REF!,B88,0,ROWS(#REF!),1),0)+B88,999)&lt;ROWS(#REF!),IFERROR(MATCH("*Other*",OFFSET(Budget!#REF!,B88,0,ROWS(#REF!),1),0)+B88,999),"")</f>
        <v>#REF!</v>
      </c>
      <c r="C89" s="70" t="str">
        <f ca="1">IFERROR(INDEX(#REF!,B89),"")</f>
        <v/>
      </c>
      <c r="E89" s="83" t="e">
        <f ca="1">IF(MIN(IFERROR(MATCH("*PostDoc*",OFFSET(Budget!#REF!,E88,0,ROWS(#REF!),1),0)+E88,999),IFERROR(MATCH("*PhD*",OFFSET(Budget!#REF!,E88,0,ROWS(#REF!),1),0)+E88,999),IFERROR(MATCH("*PDEng*",OFFSET(Budget!#REF!,E88,0,ROWS(#REF!),1),0)+E88,999))&lt;ROWS(#REF!),MIN(IFERROR(MATCH("*PostDoc*",OFFSET(Budget!#REF!,E88,0,ROWS(#REF!),1),0)+E88,999),IFERROR(MATCH("*PhD*",OFFSET(Budget!#REF!,E88,0,ROWS(#REF!),1),0)+E88,999),IFERROR(MATCH("*PDEng*",OFFSET(Budget!#REF!,E88,0,ROWS(#REF!),1),0)+E88,999)),"")</f>
        <v>#REF!</v>
      </c>
      <c r="F89" s="74" t="str">
        <f ca="1">IFERROR(INDEX(#REF!,E89)*INDEX(#REF!,E89)/12,"")</f>
        <v/>
      </c>
      <c r="G89" s="90"/>
      <c r="H89" s="83" t="e">
        <f ca="1">IF(IFERROR(MATCH("*researcher*",OFFSET(Budget!#REF!,H88,0,ROWS(#REF!),1),0)+H88,999)&lt;ROWS(#REF!),IFERROR(MATCH("*researcher*",OFFSET(Budget!#REF!,H88,0,ROWS(#REF!),1),0)+H88,999),"")</f>
        <v>#REF!</v>
      </c>
      <c r="I89" s="74" t="str">
        <f ca="1">IF(ISERROR(IF(AND(INDEX(#REF!,H89)&gt;=pers_oi_min_months,INDEX(#REF!,H89)/INDEX(#REF!,H89)*12/pers_other_nrhours_year&gt;=pers_oi_minFTE)=TRUE,INDEX(#REF!,H89)/12,0)),"",IF(AND(INDEX(#REF!,H89)&gt;=pers_oi_min_months,INDEX(#REF!,H89)/INDEX(#REF!,H89)*12/pers_other_nrhours_year&gt;=pers_oi_minFTE)=TRUE,INDEX(#REF!,H89)/12,""))</f>
        <v/>
      </c>
      <c r="J89" s="90"/>
      <c r="K89" s="83" t="e">
        <f ca="1">IF(IFERROR(MATCH("*Non-scientific*",OFFSET(Budget!#REF!,K88,0,ROWS(#REF!),1),0)+K88,999)&lt;ROWS(#REF!),IFERROR(MATCH("*Non-scientific*",OFFSET(Budget!#REF!,K88,0,ROWS(#REF!),1),0)+K88,999),"")</f>
        <v>#REF!</v>
      </c>
      <c r="L89" s="70" t="str">
        <f ca="1">IFERROR(INDEX(#REF!,K89),"")</f>
        <v/>
      </c>
      <c r="M89" s="113"/>
      <c r="N89" s="83" t="e">
        <f ca="1">IF(IFERROR(MATCH("*leave*",OFFSET(Budget!#REF!,N88,0,ROWS(#REF!),1),0)+N88,999)&lt;ROWS(#REF!),IFERROR(MATCH("*leave*",OFFSET(Budget!#REF!,N88,0,ROWS(#REF!),1),0)+N88,999),"")</f>
        <v>#REF!</v>
      </c>
      <c r="O89" s="88" t="str">
        <f ca="1">IFERROR(INDEX(#REF!,N89)*INDEX(#REF!,N89),"")</f>
        <v/>
      </c>
      <c r="P89" s="113"/>
      <c r="Q89" s="83" t="e">
        <f ca="1">IF(MIN(IFERROR(MATCH("*PostDoc*",OFFSET(Budget!#REF!,Q88,0,ROWS(#REF!)-Q88,1),0)+Q88,999),IFERROR(MATCH("*PhD*",OFFSET(Budget!#REF!,Q88,0,ROWS(#REF!)-Q88,1),0)+Q88,999),IFERROR(MATCH("*PDEng*",OFFSET(Budget!#REF!,Q88,0,ROWS(#REF!)-Q88,1),0)+Q88,999),IFERROR(MATCH("*Doctorate*",OFFSET(Budget!#REF!,Q88,0,ROWS(#REF!)-Q88,1),0)+Q88,999))&lt;ROWS(#REF!),MIN(IFERROR(MATCH("*PostDoc*",OFFSET(Budget!#REF!,Q88,0,ROWS(#REF!)-Q88,1),0)+Q88,999),IFERROR(MATCH("*PhD*",OFFSET(Budget!#REF!,Q88,0,ROWS(#REF!)-Q88,1),0)+Q88,999),IFERROR(MATCH("*PDEng*",OFFSET(Budget!#REF!,Q88,0,ROWS(#REF!)-Q88,1),0)+Q88,999),IFERROR(MATCH("*Doctorate*",OFFSET(Budget!#REF!,Q88,0,ROWS(#REF!)-Q88,1),0)+Q88,999)),"")</f>
        <v>#REF!</v>
      </c>
      <c r="R89" s="113" t="str">
        <f ca="1">IFERROR(INDEX(#REF!,Q89),"")</f>
        <v/>
      </c>
      <c r="S89" s="113" t="str">
        <f ca="1">IFERROR(INDEX(#REF!,Q89),"")</f>
        <v/>
      </c>
      <c r="T89" s="113" t="str">
        <f ca="1">IFERROR(INDEX(#REF!,Q89),"")</f>
        <v/>
      </c>
      <c r="U89" s="113" t="str">
        <f ca="1">SUBSTITUTE(IFERROR(INDEX(#REF!,Q89),""),0,"")</f>
        <v/>
      </c>
      <c r="V89" s="132" t="str">
        <f ca="1">SUBSTITUTE(IFERROR(INDEX(#REF!,Q89),""),0,"")</f>
        <v/>
      </c>
      <c r="W89" s="113"/>
      <c r="X89" s="133" t="e">
        <f>IF(ROW(E1626)-ROW($E$1548)&lt;ROWS(#REF!),IFERROR(IF(INDEX(list_cofunders[private?],MATCH(Budget!#REF!,list_cofunders[list cofunders],0),1)="yes",Budget!#REF!,""),""),"")</f>
        <v>#REF!</v>
      </c>
      <c r="Y89" s="134" t="e">
        <f>IF(ROW(E1729)-ROW($E$1651)&lt;ROWS(#REF!),IFERROR(IF(INDEX(list_cofunders[private?],MATCH(Budget!#REF!,list_cofunders[list cofunders],0),1)="yes",Budget!#REF!,""),""),"")</f>
        <v>#REF!</v>
      </c>
      <c r="Z89" s="113" t="str">
        <f>IFERROR(INDEX(#REF!,X89),"")</f>
        <v/>
      </c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CZ89" s="22"/>
      <c r="DA89" s="22"/>
      <c r="DB89" s="22"/>
      <c r="DC89" s="22"/>
      <c r="DD89" s="22"/>
      <c r="DE89" s="22"/>
      <c r="DF89" s="22"/>
      <c r="DG89" s="22"/>
      <c r="DH89" s="22"/>
    </row>
    <row r="90" spans="2:112" s="21" customFormat="1" ht="11.25" customHeight="1" outlineLevel="1" x14ac:dyDescent="0.35">
      <c r="B90" s="83" t="e">
        <f ca="1">IF(IFERROR(MATCH("*Other*",OFFSET(Budget!#REF!,B89,0,ROWS(#REF!),1),0)+B89,999)&lt;ROWS(#REF!),IFERROR(MATCH("*Other*",OFFSET(Budget!#REF!,B89,0,ROWS(#REF!),1),0)+B89,999),"")</f>
        <v>#REF!</v>
      </c>
      <c r="C90" s="70" t="str">
        <f ca="1">IFERROR(INDEX(#REF!,B90),"")</f>
        <v/>
      </c>
      <c r="E90" s="83" t="e">
        <f ca="1">IF(MIN(IFERROR(MATCH("*PostDoc*",OFFSET(Budget!#REF!,E89,0,ROWS(#REF!),1),0)+E89,999),IFERROR(MATCH("*PhD*",OFFSET(Budget!#REF!,E89,0,ROWS(#REF!),1),0)+E89,999),IFERROR(MATCH("*PDEng*",OFFSET(Budget!#REF!,E89,0,ROWS(#REF!),1),0)+E89,999))&lt;ROWS(#REF!),MIN(IFERROR(MATCH("*PostDoc*",OFFSET(Budget!#REF!,E89,0,ROWS(#REF!),1),0)+E89,999),IFERROR(MATCH("*PhD*",OFFSET(Budget!#REF!,E89,0,ROWS(#REF!),1),0)+E89,999),IFERROR(MATCH("*PDEng*",OFFSET(Budget!#REF!,E89,0,ROWS(#REF!),1),0)+E89,999)),"")</f>
        <v>#REF!</v>
      </c>
      <c r="F90" s="74" t="str">
        <f ca="1">IFERROR(INDEX(#REF!,E90)*INDEX(#REF!,E90)/12,"")</f>
        <v/>
      </c>
      <c r="G90" s="90"/>
      <c r="H90" s="83" t="e">
        <f ca="1">IF(IFERROR(MATCH("*researcher*",OFFSET(Budget!#REF!,H89,0,ROWS(#REF!),1),0)+H89,999)&lt;ROWS(#REF!),IFERROR(MATCH("*researcher*",OFFSET(Budget!#REF!,H89,0,ROWS(#REF!),1),0)+H89,999),"")</f>
        <v>#REF!</v>
      </c>
      <c r="I90" s="74" t="str">
        <f ca="1">IF(ISERROR(IF(AND(INDEX(#REF!,H90)&gt;=pers_oi_min_months,INDEX(#REF!,H90)/INDEX(#REF!,H90)*12/pers_other_nrhours_year&gt;=pers_oi_minFTE)=TRUE,INDEX(#REF!,H90)/12,0)),"",IF(AND(INDEX(#REF!,H90)&gt;=pers_oi_min_months,INDEX(#REF!,H90)/INDEX(#REF!,H90)*12/pers_other_nrhours_year&gt;=pers_oi_minFTE)=TRUE,INDEX(#REF!,H90)/12,""))</f>
        <v/>
      </c>
      <c r="J90" s="90"/>
      <c r="K90" s="83" t="e">
        <f ca="1">IF(IFERROR(MATCH("*Non-scientific*",OFFSET(Budget!#REF!,K89,0,ROWS(#REF!),1),0)+K89,999)&lt;ROWS(#REF!),IFERROR(MATCH("*Non-scientific*",OFFSET(Budget!#REF!,K89,0,ROWS(#REF!),1),0)+K89,999),"")</f>
        <v>#REF!</v>
      </c>
      <c r="L90" s="70" t="str">
        <f ca="1">IFERROR(INDEX(#REF!,K90),"")</f>
        <v/>
      </c>
      <c r="M90" s="113"/>
      <c r="N90" s="83" t="e">
        <f ca="1">IF(IFERROR(MATCH("*leave*",OFFSET(Budget!#REF!,N89,0,ROWS(#REF!),1),0)+N89,999)&lt;ROWS(#REF!),IFERROR(MATCH("*leave*",OFFSET(Budget!#REF!,N89,0,ROWS(#REF!),1),0)+N89,999),"")</f>
        <v>#REF!</v>
      </c>
      <c r="O90" s="88" t="str">
        <f ca="1">IFERROR(INDEX(#REF!,N90)*INDEX(#REF!,N90),"")</f>
        <v/>
      </c>
      <c r="P90" s="113"/>
      <c r="Q90" s="83" t="e">
        <f ca="1">IF(MIN(IFERROR(MATCH("*PostDoc*",OFFSET(Budget!#REF!,Q89,0,ROWS(#REF!)-Q89,1),0)+Q89,999),IFERROR(MATCH("*PhD*",OFFSET(Budget!#REF!,Q89,0,ROWS(#REF!)-Q89,1),0)+Q89,999),IFERROR(MATCH("*PDEng*",OFFSET(Budget!#REF!,Q89,0,ROWS(#REF!)-Q89,1),0)+Q89,999),IFERROR(MATCH("*Doctorate*",OFFSET(Budget!#REF!,Q89,0,ROWS(#REF!)-Q89,1),0)+Q89,999))&lt;ROWS(#REF!),MIN(IFERROR(MATCH("*PostDoc*",OFFSET(Budget!#REF!,Q89,0,ROWS(#REF!)-Q89,1),0)+Q89,999),IFERROR(MATCH("*PhD*",OFFSET(Budget!#REF!,Q89,0,ROWS(#REF!)-Q89,1),0)+Q89,999),IFERROR(MATCH("*PDEng*",OFFSET(Budget!#REF!,Q89,0,ROWS(#REF!)-Q89,1),0)+Q89,999),IFERROR(MATCH("*Doctorate*",OFFSET(Budget!#REF!,Q89,0,ROWS(#REF!)-Q89,1),0)+Q89,999)),"")</f>
        <v>#REF!</v>
      </c>
      <c r="R90" s="113" t="str">
        <f ca="1">IFERROR(INDEX(#REF!,Q90),"")</f>
        <v/>
      </c>
      <c r="S90" s="113" t="str">
        <f ca="1">IFERROR(INDEX(#REF!,Q90),"")</f>
        <v/>
      </c>
      <c r="T90" s="113" t="str">
        <f ca="1">IFERROR(INDEX(#REF!,Q90),"")</f>
        <v/>
      </c>
      <c r="U90" s="113" t="str">
        <f ca="1">SUBSTITUTE(IFERROR(INDEX(#REF!,Q90),""),0,"")</f>
        <v/>
      </c>
      <c r="V90" s="132" t="str">
        <f ca="1">SUBSTITUTE(IFERROR(INDEX(#REF!,Q90),""),0,"")</f>
        <v/>
      </c>
      <c r="W90" s="113"/>
      <c r="X90" s="133" t="e">
        <f>IF(ROW(E1627)-ROW($E$1548)&lt;ROWS(#REF!),IFERROR(IF(INDEX(list_cofunders[private?],MATCH(Budget!#REF!,list_cofunders[list cofunders],0),1)="yes",Budget!#REF!,""),""),"")</f>
        <v>#REF!</v>
      </c>
      <c r="Y90" s="134" t="e">
        <f>IF(ROW(E1730)-ROW($E$1651)&lt;ROWS(#REF!),IFERROR(IF(INDEX(list_cofunders[private?],MATCH(Budget!#REF!,list_cofunders[list cofunders],0),1)="yes",Budget!#REF!,""),""),"")</f>
        <v>#REF!</v>
      </c>
      <c r="Z90" s="113" t="str">
        <f>IFERROR(INDEX(#REF!,X90),"")</f>
        <v/>
      </c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CZ90" s="22"/>
      <c r="DA90" s="22"/>
      <c r="DB90" s="22"/>
      <c r="DC90" s="22"/>
      <c r="DD90" s="22"/>
      <c r="DE90" s="22"/>
      <c r="DF90" s="22"/>
      <c r="DG90" s="22"/>
      <c r="DH90" s="22"/>
    </row>
    <row r="91" spans="2:112" s="21" customFormat="1" ht="11.25" customHeight="1" outlineLevel="1" x14ac:dyDescent="0.35">
      <c r="B91" s="83" t="e">
        <f ca="1">IF(IFERROR(MATCH("*Other*",OFFSET(Budget!#REF!,B90,0,ROWS(#REF!),1),0)+B90,999)&lt;ROWS(#REF!),IFERROR(MATCH("*Other*",OFFSET(Budget!#REF!,B90,0,ROWS(#REF!),1),0)+B90,999),"")</f>
        <v>#REF!</v>
      </c>
      <c r="C91" s="70" t="str">
        <f ca="1">IFERROR(INDEX(#REF!,B91),"")</f>
        <v/>
      </c>
      <c r="E91" s="83" t="e">
        <f ca="1">IF(MIN(IFERROR(MATCH("*PostDoc*",OFFSET(Budget!#REF!,E90,0,ROWS(#REF!),1),0)+E90,999),IFERROR(MATCH("*PhD*",OFFSET(Budget!#REF!,E90,0,ROWS(#REF!),1),0)+E90,999),IFERROR(MATCH("*PDEng*",OFFSET(Budget!#REF!,E90,0,ROWS(#REF!),1),0)+E90,999))&lt;ROWS(#REF!),MIN(IFERROR(MATCH("*PostDoc*",OFFSET(Budget!#REF!,E90,0,ROWS(#REF!),1),0)+E90,999),IFERROR(MATCH("*PhD*",OFFSET(Budget!#REF!,E90,0,ROWS(#REF!),1),0)+E90,999),IFERROR(MATCH("*PDEng*",OFFSET(Budget!#REF!,E90,0,ROWS(#REF!),1),0)+E90,999)),"")</f>
        <v>#REF!</v>
      </c>
      <c r="F91" s="74" t="str">
        <f ca="1">IFERROR(INDEX(#REF!,E91)*INDEX(#REF!,E91)/12,"")</f>
        <v/>
      </c>
      <c r="G91" s="90"/>
      <c r="H91" s="83" t="e">
        <f ca="1">IF(IFERROR(MATCH("*researcher*",OFFSET(Budget!#REF!,H90,0,ROWS(#REF!),1),0)+H90,999)&lt;ROWS(#REF!),IFERROR(MATCH("*researcher*",OFFSET(Budget!#REF!,H90,0,ROWS(#REF!),1),0)+H90,999),"")</f>
        <v>#REF!</v>
      </c>
      <c r="I91" s="74" t="str">
        <f ca="1">IF(ISERROR(IF(AND(INDEX(#REF!,H91)&gt;=pers_oi_min_months,INDEX(#REF!,H91)/INDEX(#REF!,H91)*12/pers_other_nrhours_year&gt;=pers_oi_minFTE)=TRUE,INDEX(#REF!,H91)/12,0)),"",IF(AND(INDEX(#REF!,H91)&gt;=pers_oi_min_months,INDEX(#REF!,H91)/INDEX(#REF!,H91)*12/pers_other_nrhours_year&gt;=pers_oi_minFTE)=TRUE,INDEX(#REF!,H91)/12,""))</f>
        <v/>
      </c>
      <c r="J91" s="90"/>
      <c r="K91" s="83" t="e">
        <f ca="1">IF(IFERROR(MATCH("*Non-scientific*",OFFSET(Budget!#REF!,K90,0,ROWS(#REF!),1),0)+K90,999)&lt;ROWS(#REF!),IFERROR(MATCH("*Non-scientific*",OFFSET(Budget!#REF!,K90,0,ROWS(#REF!),1),0)+K90,999),"")</f>
        <v>#REF!</v>
      </c>
      <c r="L91" s="70" t="str">
        <f ca="1">IFERROR(INDEX(#REF!,K91),"")</f>
        <v/>
      </c>
      <c r="M91" s="113"/>
      <c r="N91" s="83" t="e">
        <f ca="1">IF(IFERROR(MATCH("*leave*",OFFSET(Budget!#REF!,N90,0,ROWS(#REF!),1),0)+N90,999)&lt;ROWS(#REF!),IFERROR(MATCH("*leave*",OFFSET(Budget!#REF!,N90,0,ROWS(#REF!),1),0)+N90,999),"")</f>
        <v>#REF!</v>
      </c>
      <c r="O91" s="88" t="str">
        <f ca="1">IFERROR(INDEX(#REF!,N91)*INDEX(#REF!,N91),"")</f>
        <v/>
      </c>
      <c r="P91" s="113"/>
      <c r="Q91" s="83" t="e">
        <f ca="1">IF(MIN(IFERROR(MATCH("*PostDoc*",OFFSET(Budget!#REF!,Q90,0,ROWS(#REF!)-Q90,1),0)+Q90,999),IFERROR(MATCH("*PhD*",OFFSET(Budget!#REF!,Q90,0,ROWS(#REF!)-Q90,1),0)+Q90,999),IFERROR(MATCH("*PDEng*",OFFSET(Budget!#REF!,Q90,0,ROWS(#REF!)-Q90,1),0)+Q90,999),IFERROR(MATCH("*Doctorate*",OFFSET(Budget!#REF!,Q90,0,ROWS(#REF!)-Q90,1),0)+Q90,999))&lt;ROWS(#REF!),MIN(IFERROR(MATCH("*PostDoc*",OFFSET(Budget!#REF!,Q90,0,ROWS(#REF!)-Q90,1),0)+Q90,999),IFERROR(MATCH("*PhD*",OFFSET(Budget!#REF!,Q90,0,ROWS(#REF!)-Q90,1),0)+Q90,999),IFERROR(MATCH("*PDEng*",OFFSET(Budget!#REF!,Q90,0,ROWS(#REF!)-Q90,1),0)+Q90,999),IFERROR(MATCH("*Doctorate*",OFFSET(Budget!#REF!,Q90,0,ROWS(#REF!)-Q90,1),0)+Q90,999)),"")</f>
        <v>#REF!</v>
      </c>
      <c r="R91" s="113" t="str">
        <f ca="1">IFERROR(INDEX(#REF!,Q91),"")</f>
        <v/>
      </c>
      <c r="S91" s="113" t="str">
        <f ca="1">IFERROR(INDEX(#REF!,Q91),"")</f>
        <v/>
      </c>
      <c r="T91" s="113" t="str">
        <f ca="1">IFERROR(INDEX(#REF!,Q91),"")</f>
        <v/>
      </c>
      <c r="U91" s="113" t="str">
        <f ca="1">SUBSTITUTE(IFERROR(INDEX(#REF!,Q91),""),0,"")</f>
        <v/>
      </c>
      <c r="V91" s="132" t="str">
        <f ca="1">SUBSTITUTE(IFERROR(INDEX(#REF!,Q91),""),0,"")</f>
        <v/>
      </c>
      <c r="W91" s="113"/>
      <c r="X91" s="133" t="e">
        <f>IF(ROW(E1628)-ROW($E$1548)&lt;ROWS(#REF!),IFERROR(IF(INDEX(list_cofunders[private?],MATCH(Budget!#REF!,list_cofunders[list cofunders],0),1)="yes",Budget!#REF!,""),""),"")</f>
        <v>#REF!</v>
      </c>
      <c r="Y91" s="134" t="e">
        <f>IF(ROW(E1731)-ROW($E$1651)&lt;ROWS(#REF!),IFERROR(IF(INDEX(list_cofunders[private?],MATCH(Budget!#REF!,list_cofunders[list cofunders],0),1)="yes",Budget!#REF!,""),""),"")</f>
        <v>#REF!</v>
      </c>
      <c r="Z91" s="113" t="str">
        <f>IFERROR(INDEX(#REF!,X91),"")</f>
        <v/>
      </c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CZ91" s="22"/>
      <c r="DA91" s="22"/>
      <c r="DB91" s="22"/>
      <c r="DC91" s="22"/>
      <c r="DD91" s="22"/>
      <c r="DE91" s="22"/>
      <c r="DF91" s="22"/>
      <c r="DG91" s="22"/>
      <c r="DH91" s="22"/>
    </row>
    <row r="92" spans="2:112" s="21" customFormat="1" ht="11.25" customHeight="1" outlineLevel="1" x14ac:dyDescent="0.35">
      <c r="B92" s="83" t="e">
        <f ca="1">IF(IFERROR(MATCH("*Other*",OFFSET(Budget!#REF!,B91,0,ROWS(#REF!),1),0)+B91,999)&lt;ROWS(#REF!),IFERROR(MATCH("*Other*",OFFSET(Budget!#REF!,B91,0,ROWS(#REF!),1),0)+B91,999),"")</f>
        <v>#REF!</v>
      </c>
      <c r="C92" s="70" t="str">
        <f ca="1">IFERROR(INDEX(#REF!,B92),"")</f>
        <v/>
      </c>
      <c r="E92" s="83" t="e">
        <f ca="1">IF(MIN(IFERROR(MATCH("*PostDoc*",OFFSET(Budget!#REF!,E91,0,ROWS(#REF!),1),0)+E91,999),IFERROR(MATCH("*PhD*",OFFSET(Budget!#REF!,E91,0,ROWS(#REF!),1),0)+E91,999),IFERROR(MATCH("*PDEng*",OFFSET(Budget!#REF!,E91,0,ROWS(#REF!),1),0)+E91,999))&lt;ROWS(#REF!),MIN(IFERROR(MATCH("*PostDoc*",OFFSET(Budget!#REF!,E91,0,ROWS(#REF!),1),0)+E91,999),IFERROR(MATCH("*PhD*",OFFSET(Budget!#REF!,E91,0,ROWS(#REF!),1),0)+E91,999),IFERROR(MATCH("*PDEng*",OFFSET(Budget!#REF!,E91,0,ROWS(#REF!),1),0)+E91,999)),"")</f>
        <v>#REF!</v>
      </c>
      <c r="F92" s="74" t="str">
        <f ca="1">IFERROR(INDEX(#REF!,E92)*INDEX(#REF!,E92)/12,"")</f>
        <v/>
      </c>
      <c r="G92" s="90"/>
      <c r="H92" s="83" t="e">
        <f ca="1">IF(IFERROR(MATCH("*researcher*",OFFSET(Budget!#REF!,H91,0,ROWS(#REF!),1),0)+H91,999)&lt;ROWS(#REF!),IFERROR(MATCH("*researcher*",OFFSET(Budget!#REF!,H91,0,ROWS(#REF!),1),0)+H91,999),"")</f>
        <v>#REF!</v>
      </c>
      <c r="I92" s="74" t="str">
        <f ca="1">IF(ISERROR(IF(AND(INDEX(#REF!,H92)&gt;=pers_oi_min_months,INDEX(#REF!,H92)/INDEX(#REF!,H92)*12/pers_other_nrhours_year&gt;=pers_oi_minFTE)=TRUE,INDEX(#REF!,H92)/12,0)),"",IF(AND(INDEX(#REF!,H92)&gt;=pers_oi_min_months,INDEX(#REF!,H92)/INDEX(#REF!,H92)*12/pers_other_nrhours_year&gt;=pers_oi_minFTE)=TRUE,INDEX(#REF!,H92)/12,""))</f>
        <v/>
      </c>
      <c r="J92" s="90"/>
      <c r="K92" s="83" t="e">
        <f ca="1">IF(IFERROR(MATCH("*Non-scientific*",OFFSET(Budget!#REF!,K91,0,ROWS(#REF!),1),0)+K91,999)&lt;ROWS(#REF!),IFERROR(MATCH("*Non-scientific*",OFFSET(Budget!#REF!,K91,0,ROWS(#REF!),1),0)+K91,999),"")</f>
        <v>#REF!</v>
      </c>
      <c r="L92" s="70" t="str">
        <f ca="1">IFERROR(INDEX(#REF!,K92),"")</f>
        <v/>
      </c>
      <c r="M92" s="113"/>
      <c r="N92" s="83" t="e">
        <f ca="1">IF(IFERROR(MATCH("*leave*",OFFSET(Budget!#REF!,N91,0,ROWS(#REF!),1),0)+N91,999)&lt;ROWS(#REF!),IFERROR(MATCH("*leave*",OFFSET(Budget!#REF!,N91,0,ROWS(#REF!),1),0)+N91,999),"")</f>
        <v>#REF!</v>
      </c>
      <c r="O92" s="88" t="str">
        <f ca="1">IFERROR(INDEX(#REF!,N92)*INDEX(#REF!,N92),"")</f>
        <v/>
      </c>
      <c r="P92" s="113"/>
      <c r="Q92" s="83" t="e">
        <f ca="1">IF(MIN(IFERROR(MATCH("*PostDoc*",OFFSET(Budget!#REF!,Q91,0,ROWS(#REF!)-Q91,1),0)+Q91,999),IFERROR(MATCH("*PhD*",OFFSET(Budget!#REF!,Q91,0,ROWS(#REF!)-Q91,1),0)+Q91,999),IFERROR(MATCH("*PDEng*",OFFSET(Budget!#REF!,Q91,0,ROWS(#REF!)-Q91,1),0)+Q91,999),IFERROR(MATCH("*Doctorate*",OFFSET(Budget!#REF!,Q91,0,ROWS(#REF!)-Q91,1),0)+Q91,999))&lt;ROWS(#REF!),MIN(IFERROR(MATCH("*PostDoc*",OFFSET(Budget!#REF!,Q91,0,ROWS(#REF!)-Q91,1),0)+Q91,999),IFERROR(MATCH("*PhD*",OFFSET(Budget!#REF!,Q91,0,ROWS(#REF!)-Q91,1),0)+Q91,999),IFERROR(MATCH("*PDEng*",OFFSET(Budget!#REF!,Q91,0,ROWS(#REF!)-Q91,1),0)+Q91,999),IFERROR(MATCH("*Doctorate*",OFFSET(Budget!#REF!,Q91,0,ROWS(#REF!)-Q91,1),0)+Q91,999)),"")</f>
        <v>#REF!</v>
      </c>
      <c r="R92" s="113" t="str">
        <f ca="1">IFERROR(INDEX(#REF!,Q92),"")</f>
        <v/>
      </c>
      <c r="S92" s="113" t="str">
        <f ca="1">IFERROR(INDEX(#REF!,Q92),"")</f>
        <v/>
      </c>
      <c r="T92" s="113" t="str">
        <f ca="1">IFERROR(INDEX(#REF!,Q92),"")</f>
        <v/>
      </c>
      <c r="U92" s="113" t="str">
        <f ca="1">SUBSTITUTE(IFERROR(INDEX(#REF!,Q92),""),0,"")</f>
        <v/>
      </c>
      <c r="V92" s="132" t="str">
        <f ca="1">SUBSTITUTE(IFERROR(INDEX(#REF!,Q92),""),0,"")</f>
        <v/>
      </c>
      <c r="W92" s="113"/>
      <c r="X92" s="133" t="e">
        <f>IF(ROW(E1629)-ROW($E$1548)&lt;ROWS(#REF!),IFERROR(IF(INDEX(list_cofunders[private?],MATCH(Budget!#REF!,list_cofunders[list cofunders],0),1)="yes",Budget!#REF!,""),""),"")</f>
        <v>#REF!</v>
      </c>
      <c r="Y92" s="134" t="e">
        <f>IF(ROW(E1732)-ROW($E$1651)&lt;ROWS(#REF!),IFERROR(IF(INDEX(list_cofunders[private?],MATCH(Budget!#REF!,list_cofunders[list cofunders],0),1)="yes",Budget!#REF!,""),""),"")</f>
        <v>#REF!</v>
      </c>
      <c r="Z92" s="113" t="str">
        <f>IFERROR(INDEX(#REF!,X92),"")</f>
        <v/>
      </c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CZ92" s="22"/>
      <c r="DA92" s="22"/>
      <c r="DB92" s="22"/>
      <c r="DC92" s="22"/>
      <c r="DD92" s="22"/>
      <c r="DE92" s="22"/>
      <c r="DF92" s="22"/>
      <c r="DG92" s="22"/>
      <c r="DH92" s="22"/>
    </row>
    <row r="93" spans="2:112" s="21" customFormat="1" ht="11.25" customHeight="1" outlineLevel="1" x14ac:dyDescent="0.35">
      <c r="B93" s="83" t="e">
        <f ca="1">IF(IFERROR(MATCH("*Other*",OFFSET(Budget!#REF!,B92,0,ROWS(#REF!),1),0)+B92,999)&lt;ROWS(#REF!),IFERROR(MATCH("*Other*",OFFSET(Budget!#REF!,B92,0,ROWS(#REF!),1),0)+B92,999),"")</f>
        <v>#REF!</v>
      </c>
      <c r="C93" s="70" t="str">
        <f ca="1">IFERROR(INDEX(#REF!,B93),"")</f>
        <v/>
      </c>
      <c r="E93" s="83" t="e">
        <f ca="1">IF(MIN(IFERROR(MATCH("*PostDoc*",OFFSET(Budget!#REF!,E92,0,ROWS(#REF!),1),0)+E92,999),IFERROR(MATCH("*PhD*",OFFSET(Budget!#REF!,E92,0,ROWS(#REF!),1),0)+E92,999),IFERROR(MATCH("*PDEng*",OFFSET(Budget!#REF!,E92,0,ROWS(#REF!),1),0)+E92,999))&lt;ROWS(#REF!),MIN(IFERROR(MATCH("*PostDoc*",OFFSET(Budget!#REF!,E92,0,ROWS(#REF!),1),0)+E92,999),IFERROR(MATCH("*PhD*",OFFSET(Budget!#REF!,E92,0,ROWS(#REF!),1),0)+E92,999),IFERROR(MATCH("*PDEng*",OFFSET(Budget!#REF!,E92,0,ROWS(#REF!),1),0)+E92,999)),"")</f>
        <v>#REF!</v>
      </c>
      <c r="F93" s="74" t="str">
        <f ca="1">IFERROR(INDEX(#REF!,E93)*INDEX(#REF!,E93)/12,"")</f>
        <v/>
      </c>
      <c r="G93" s="90"/>
      <c r="H93" s="83" t="e">
        <f ca="1">IF(IFERROR(MATCH("*researcher*",OFFSET(Budget!#REF!,H92,0,ROWS(#REF!),1),0)+H92,999)&lt;ROWS(#REF!),IFERROR(MATCH("*researcher*",OFFSET(Budget!#REF!,H92,0,ROWS(#REF!),1),0)+H92,999),"")</f>
        <v>#REF!</v>
      </c>
      <c r="I93" s="74" t="str">
        <f ca="1">IF(ISERROR(IF(AND(INDEX(#REF!,H93)&gt;=pers_oi_min_months,INDEX(#REF!,H93)/INDEX(#REF!,H93)*12/pers_other_nrhours_year&gt;=pers_oi_minFTE)=TRUE,INDEX(#REF!,H93)/12,0)),"",IF(AND(INDEX(#REF!,H93)&gt;=pers_oi_min_months,INDEX(#REF!,H93)/INDEX(#REF!,H93)*12/pers_other_nrhours_year&gt;=pers_oi_minFTE)=TRUE,INDEX(#REF!,H93)/12,""))</f>
        <v/>
      </c>
      <c r="J93" s="90"/>
      <c r="K93" s="83" t="e">
        <f ca="1">IF(IFERROR(MATCH("*Non-scientific*",OFFSET(Budget!#REF!,K92,0,ROWS(#REF!),1),0)+K92,999)&lt;ROWS(#REF!),IFERROR(MATCH("*Non-scientific*",OFFSET(Budget!#REF!,K92,0,ROWS(#REF!),1),0)+K92,999),"")</f>
        <v>#REF!</v>
      </c>
      <c r="L93" s="70" t="str">
        <f ca="1">IFERROR(INDEX(#REF!,K93),"")</f>
        <v/>
      </c>
      <c r="M93" s="113"/>
      <c r="N93" s="83" t="e">
        <f ca="1">IF(IFERROR(MATCH("*leave*",OFFSET(Budget!#REF!,N92,0,ROWS(#REF!),1),0)+N92,999)&lt;ROWS(#REF!),IFERROR(MATCH("*leave*",OFFSET(Budget!#REF!,N92,0,ROWS(#REF!),1),0)+N92,999),"")</f>
        <v>#REF!</v>
      </c>
      <c r="O93" s="88" t="str">
        <f ca="1">IFERROR(INDEX(#REF!,N93)*INDEX(#REF!,N93),"")</f>
        <v/>
      </c>
      <c r="P93" s="113"/>
      <c r="Q93" s="83" t="e">
        <f ca="1">IF(MIN(IFERROR(MATCH("*PostDoc*",OFFSET(Budget!#REF!,Q92,0,ROWS(#REF!)-Q92,1),0)+Q92,999),IFERROR(MATCH("*PhD*",OFFSET(Budget!#REF!,Q92,0,ROWS(#REF!)-Q92,1),0)+Q92,999),IFERROR(MATCH("*PDEng*",OFFSET(Budget!#REF!,Q92,0,ROWS(#REF!)-Q92,1),0)+Q92,999),IFERROR(MATCH("*Doctorate*",OFFSET(Budget!#REF!,Q92,0,ROWS(#REF!)-Q92,1),0)+Q92,999))&lt;ROWS(#REF!),MIN(IFERROR(MATCH("*PostDoc*",OFFSET(Budget!#REF!,Q92,0,ROWS(#REF!)-Q92,1),0)+Q92,999),IFERROR(MATCH("*PhD*",OFFSET(Budget!#REF!,Q92,0,ROWS(#REF!)-Q92,1),0)+Q92,999),IFERROR(MATCH("*PDEng*",OFFSET(Budget!#REF!,Q92,0,ROWS(#REF!)-Q92,1),0)+Q92,999),IFERROR(MATCH("*Doctorate*",OFFSET(Budget!#REF!,Q92,0,ROWS(#REF!)-Q92,1),0)+Q92,999)),"")</f>
        <v>#REF!</v>
      </c>
      <c r="R93" s="113" t="str">
        <f ca="1">IFERROR(INDEX(#REF!,Q93),"")</f>
        <v/>
      </c>
      <c r="S93" s="113" t="str">
        <f ca="1">IFERROR(INDEX(#REF!,Q93),"")</f>
        <v/>
      </c>
      <c r="T93" s="113" t="str">
        <f ca="1">IFERROR(INDEX(#REF!,Q93),"")</f>
        <v/>
      </c>
      <c r="U93" s="113" t="str">
        <f ca="1">SUBSTITUTE(IFERROR(INDEX(#REF!,Q93),""),0,"")</f>
        <v/>
      </c>
      <c r="V93" s="132" t="str">
        <f ca="1">SUBSTITUTE(IFERROR(INDEX(#REF!,Q93),""),0,"")</f>
        <v/>
      </c>
      <c r="W93" s="113"/>
      <c r="X93" s="133" t="e">
        <f>IF(ROW(E1630)-ROW($E$1548)&lt;ROWS(#REF!),IFERROR(IF(INDEX(list_cofunders[private?],MATCH(Budget!#REF!,list_cofunders[list cofunders],0),1)="yes",Budget!#REF!,""),""),"")</f>
        <v>#REF!</v>
      </c>
      <c r="Y93" s="134" t="e">
        <f>IF(ROW(E1733)-ROW($E$1651)&lt;ROWS(#REF!),IFERROR(IF(INDEX(list_cofunders[private?],MATCH(Budget!#REF!,list_cofunders[list cofunders],0),1)="yes",Budget!#REF!,""),""),"")</f>
        <v>#REF!</v>
      </c>
      <c r="Z93" s="113" t="str">
        <f>IFERROR(INDEX(#REF!,X93),"")</f>
        <v/>
      </c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CZ93" s="22"/>
      <c r="DA93" s="22"/>
      <c r="DB93" s="22"/>
      <c r="DC93" s="22"/>
      <c r="DD93" s="22"/>
      <c r="DE93" s="22"/>
      <c r="DF93" s="22"/>
      <c r="DG93" s="22"/>
      <c r="DH93" s="22"/>
    </row>
    <row r="94" spans="2:112" s="21" customFormat="1" ht="11.25" customHeight="1" outlineLevel="1" x14ac:dyDescent="0.35">
      <c r="B94" s="83" t="e">
        <f ca="1">IF(IFERROR(MATCH("*Other*",OFFSET(Budget!#REF!,B93,0,ROWS(#REF!),1),0)+B93,999)&lt;ROWS(#REF!),IFERROR(MATCH("*Other*",OFFSET(Budget!#REF!,B93,0,ROWS(#REF!),1),0)+B93,999),"")</f>
        <v>#REF!</v>
      </c>
      <c r="C94" s="70" t="str">
        <f ca="1">IFERROR(INDEX(#REF!,B94),"")</f>
        <v/>
      </c>
      <c r="E94" s="83" t="e">
        <f ca="1">IF(MIN(IFERROR(MATCH("*PostDoc*",OFFSET(Budget!#REF!,E93,0,ROWS(#REF!),1),0)+E93,999),IFERROR(MATCH("*PhD*",OFFSET(Budget!#REF!,E93,0,ROWS(#REF!),1),0)+E93,999),IFERROR(MATCH("*PDEng*",OFFSET(Budget!#REF!,E93,0,ROWS(#REF!),1),0)+E93,999))&lt;ROWS(#REF!),MIN(IFERROR(MATCH("*PostDoc*",OFFSET(Budget!#REF!,E93,0,ROWS(#REF!),1),0)+E93,999),IFERROR(MATCH("*PhD*",OFFSET(Budget!#REF!,E93,0,ROWS(#REF!),1),0)+E93,999),IFERROR(MATCH("*PDEng*",OFFSET(Budget!#REF!,E93,0,ROWS(#REF!),1),0)+E93,999)),"")</f>
        <v>#REF!</v>
      </c>
      <c r="F94" s="74" t="str">
        <f ca="1">IFERROR(INDEX(#REF!,E94)*INDEX(#REF!,E94)/12,"")</f>
        <v/>
      </c>
      <c r="G94" s="90"/>
      <c r="H94" s="83" t="e">
        <f ca="1">IF(IFERROR(MATCH("*researcher*",OFFSET(Budget!#REF!,H93,0,ROWS(#REF!),1),0)+H93,999)&lt;ROWS(#REF!),IFERROR(MATCH("*researcher*",OFFSET(Budget!#REF!,H93,0,ROWS(#REF!),1),0)+H93,999),"")</f>
        <v>#REF!</v>
      </c>
      <c r="I94" s="74" t="str">
        <f ca="1">IF(ISERROR(IF(AND(INDEX(#REF!,H94)&gt;=pers_oi_min_months,INDEX(#REF!,H94)/INDEX(#REF!,H94)*12/pers_other_nrhours_year&gt;=pers_oi_minFTE)=TRUE,INDEX(#REF!,H94)/12,0)),"",IF(AND(INDEX(#REF!,H94)&gt;=pers_oi_min_months,INDEX(#REF!,H94)/INDEX(#REF!,H94)*12/pers_other_nrhours_year&gt;=pers_oi_minFTE)=TRUE,INDEX(#REF!,H94)/12,""))</f>
        <v/>
      </c>
      <c r="J94" s="90"/>
      <c r="K94" s="83" t="e">
        <f ca="1">IF(IFERROR(MATCH("*Non-scientific*",OFFSET(Budget!#REF!,K93,0,ROWS(#REF!),1),0)+K93,999)&lt;ROWS(#REF!),IFERROR(MATCH("*Non-scientific*",OFFSET(Budget!#REF!,K93,0,ROWS(#REF!),1),0)+K93,999),"")</f>
        <v>#REF!</v>
      </c>
      <c r="L94" s="70" t="str">
        <f ca="1">IFERROR(INDEX(#REF!,K94),"")</f>
        <v/>
      </c>
      <c r="M94" s="113"/>
      <c r="N94" s="83" t="e">
        <f ca="1">IF(IFERROR(MATCH("*leave*",OFFSET(Budget!#REF!,N93,0,ROWS(#REF!),1),0)+N93,999)&lt;ROWS(#REF!),IFERROR(MATCH("*leave*",OFFSET(Budget!#REF!,N93,0,ROWS(#REF!),1),0)+N93,999),"")</f>
        <v>#REF!</v>
      </c>
      <c r="O94" s="88" t="str">
        <f ca="1">IFERROR(INDEX(#REF!,N94)*INDEX(#REF!,N94),"")</f>
        <v/>
      </c>
      <c r="P94" s="113"/>
      <c r="Q94" s="83" t="e">
        <f ca="1">IF(MIN(IFERROR(MATCH("*PostDoc*",OFFSET(Budget!#REF!,Q93,0,ROWS(#REF!)-Q93,1),0)+Q93,999),IFERROR(MATCH("*PhD*",OFFSET(Budget!#REF!,Q93,0,ROWS(#REF!)-Q93,1),0)+Q93,999),IFERROR(MATCH("*PDEng*",OFFSET(Budget!#REF!,Q93,0,ROWS(#REF!)-Q93,1),0)+Q93,999),IFERROR(MATCH("*Doctorate*",OFFSET(Budget!#REF!,Q93,0,ROWS(#REF!)-Q93,1),0)+Q93,999))&lt;ROWS(#REF!),MIN(IFERROR(MATCH("*PostDoc*",OFFSET(Budget!#REF!,Q93,0,ROWS(#REF!)-Q93,1),0)+Q93,999),IFERROR(MATCH("*PhD*",OFFSET(Budget!#REF!,Q93,0,ROWS(#REF!)-Q93,1),0)+Q93,999),IFERROR(MATCH("*PDEng*",OFFSET(Budget!#REF!,Q93,0,ROWS(#REF!)-Q93,1),0)+Q93,999),IFERROR(MATCH("*Doctorate*",OFFSET(Budget!#REF!,Q93,0,ROWS(#REF!)-Q93,1),0)+Q93,999)),"")</f>
        <v>#REF!</v>
      </c>
      <c r="R94" s="113" t="str">
        <f ca="1">IFERROR(INDEX(#REF!,Q94),"")</f>
        <v/>
      </c>
      <c r="S94" s="113" t="str">
        <f ca="1">IFERROR(INDEX(#REF!,Q94),"")</f>
        <v/>
      </c>
      <c r="T94" s="113" t="str">
        <f ca="1">IFERROR(INDEX(#REF!,Q94),"")</f>
        <v/>
      </c>
      <c r="U94" s="113" t="str">
        <f ca="1">SUBSTITUTE(IFERROR(INDEX(#REF!,Q94),""),0,"")</f>
        <v/>
      </c>
      <c r="V94" s="132" t="str">
        <f ca="1">SUBSTITUTE(IFERROR(INDEX(#REF!,Q94),""),0,"")</f>
        <v/>
      </c>
      <c r="W94" s="113"/>
      <c r="X94" s="133" t="e">
        <f>IF(ROW(E1631)-ROW($E$1548)&lt;ROWS(#REF!),IFERROR(IF(INDEX(list_cofunders[private?],MATCH(Budget!#REF!,list_cofunders[list cofunders],0),1)="yes",Budget!#REF!,""),""),"")</f>
        <v>#REF!</v>
      </c>
      <c r="Y94" s="134" t="e">
        <f>IF(ROW(E1734)-ROW($E$1651)&lt;ROWS(#REF!),IFERROR(IF(INDEX(list_cofunders[private?],MATCH(Budget!#REF!,list_cofunders[list cofunders],0),1)="yes",Budget!#REF!,""),""),"")</f>
        <v>#REF!</v>
      </c>
      <c r="Z94" s="113" t="str">
        <f>IFERROR(INDEX(#REF!,X94),"")</f>
        <v/>
      </c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CZ94" s="22"/>
      <c r="DA94" s="22"/>
      <c r="DB94" s="22"/>
      <c r="DC94" s="22"/>
      <c r="DD94" s="22"/>
      <c r="DE94" s="22"/>
      <c r="DF94" s="22"/>
      <c r="DG94" s="22"/>
      <c r="DH94" s="22"/>
    </row>
    <row r="95" spans="2:112" s="21" customFormat="1" ht="11.25" customHeight="1" outlineLevel="1" x14ac:dyDescent="0.35">
      <c r="B95" s="83" t="e">
        <f ca="1">IF(IFERROR(MATCH("*Other*",OFFSET(Budget!#REF!,B94,0,ROWS(#REF!),1),0)+B94,999)&lt;ROWS(#REF!),IFERROR(MATCH("*Other*",OFFSET(Budget!#REF!,B94,0,ROWS(#REF!),1),0)+B94,999),"")</f>
        <v>#REF!</v>
      </c>
      <c r="C95" s="70" t="str">
        <f ca="1">IFERROR(INDEX(#REF!,B95),"")</f>
        <v/>
      </c>
      <c r="E95" s="83" t="e">
        <f ca="1">IF(MIN(IFERROR(MATCH("*PostDoc*",OFFSET(Budget!#REF!,E94,0,ROWS(#REF!),1),0)+E94,999),IFERROR(MATCH("*PhD*",OFFSET(Budget!#REF!,E94,0,ROWS(#REF!),1),0)+E94,999),IFERROR(MATCH("*PDEng*",OFFSET(Budget!#REF!,E94,0,ROWS(#REF!),1),0)+E94,999))&lt;ROWS(#REF!),MIN(IFERROR(MATCH("*PostDoc*",OFFSET(Budget!#REF!,E94,0,ROWS(#REF!),1),0)+E94,999),IFERROR(MATCH("*PhD*",OFFSET(Budget!#REF!,E94,0,ROWS(#REF!),1),0)+E94,999),IFERROR(MATCH("*PDEng*",OFFSET(Budget!#REF!,E94,0,ROWS(#REF!),1),0)+E94,999)),"")</f>
        <v>#REF!</v>
      </c>
      <c r="F95" s="74" t="str">
        <f ca="1">IFERROR(INDEX(#REF!,E95)*INDEX(#REF!,E95)/12,"")</f>
        <v/>
      </c>
      <c r="G95" s="90"/>
      <c r="H95" s="83" t="e">
        <f ca="1">IF(IFERROR(MATCH("*researcher*",OFFSET(Budget!#REF!,H94,0,ROWS(#REF!),1),0)+H94,999)&lt;ROWS(#REF!),IFERROR(MATCH("*researcher*",OFFSET(Budget!#REF!,H94,0,ROWS(#REF!),1),0)+H94,999),"")</f>
        <v>#REF!</v>
      </c>
      <c r="I95" s="74" t="str">
        <f ca="1">IF(ISERROR(IF(AND(INDEX(#REF!,H95)&gt;=pers_oi_min_months,INDEX(#REF!,H95)/INDEX(#REF!,H95)*12/pers_other_nrhours_year&gt;=pers_oi_minFTE)=TRUE,INDEX(#REF!,H95)/12,0)),"",IF(AND(INDEX(#REF!,H95)&gt;=pers_oi_min_months,INDEX(#REF!,H95)/INDEX(#REF!,H95)*12/pers_other_nrhours_year&gt;=pers_oi_minFTE)=TRUE,INDEX(#REF!,H95)/12,""))</f>
        <v/>
      </c>
      <c r="J95" s="90"/>
      <c r="K95" s="83" t="e">
        <f ca="1">IF(IFERROR(MATCH("*Non-scientific*",OFFSET(Budget!#REF!,K94,0,ROWS(#REF!),1),0)+K94,999)&lt;ROWS(#REF!),IFERROR(MATCH("*Non-scientific*",OFFSET(Budget!#REF!,K94,0,ROWS(#REF!),1),0)+K94,999),"")</f>
        <v>#REF!</v>
      </c>
      <c r="L95" s="70" t="str">
        <f ca="1">IFERROR(INDEX(#REF!,K95),"")</f>
        <v/>
      </c>
      <c r="M95" s="113"/>
      <c r="N95" s="83" t="e">
        <f ca="1">IF(IFERROR(MATCH("*leave*",OFFSET(Budget!#REF!,N94,0,ROWS(#REF!),1),0)+N94,999)&lt;ROWS(#REF!),IFERROR(MATCH("*leave*",OFFSET(Budget!#REF!,N94,0,ROWS(#REF!),1),0)+N94,999),"")</f>
        <v>#REF!</v>
      </c>
      <c r="O95" s="88" t="str">
        <f ca="1">IFERROR(INDEX(#REF!,N95)*INDEX(#REF!,N95),"")</f>
        <v/>
      </c>
      <c r="P95" s="113"/>
      <c r="Q95" s="83" t="e">
        <f ca="1">IF(MIN(IFERROR(MATCH("*PostDoc*",OFFSET(Budget!#REF!,Q94,0,ROWS(#REF!)-Q94,1),0)+Q94,999),IFERROR(MATCH("*PhD*",OFFSET(Budget!#REF!,Q94,0,ROWS(#REF!)-Q94,1),0)+Q94,999),IFERROR(MATCH("*PDEng*",OFFSET(Budget!#REF!,Q94,0,ROWS(#REF!)-Q94,1),0)+Q94,999),IFERROR(MATCH("*Doctorate*",OFFSET(Budget!#REF!,Q94,0,ROWS(#REF!)-Q94,1),0)+Q94,999))&lt;ROWS(#REF!),MIN(IFERROR(MATCH("*PostDoc*",OFFSET(Budget!#REF!,Q94,0,ROWS(#REF!)-Q94,1),0)+Q94,999),IFERROR(MATCH("*PhD*",OFFSET(Budget!#REF!,Q94,0,ROWS(#REF!)-Q94,1),0)+Q94,999),IFERROR(MATCH("*PDEng*",OFFSET(Budget!#REF!,Q94,0,ROWS(#REF!)-Q94,1),0)+Q94,999),IFERROR(MATCH("*Doctorate*",OFFSET(Budget!#REF!,Q94,0,ROWS(#REF!)-Q94,1),0)+Q94,999)),"")</f>
        <v>#REF!</v>
      </c>
      <c r="R95" s="113" t="str">
        <f ca="1">IFERROR(INDEX(#REF!,Q95),"")</f>
        <v/>
      </c>
      <c r="S95" s="113" t="str">
        <f ca="1">IFERROR(INDEX(#REF!,Q95),"")</f>
        <v/>
      </c>
      <c r="T95" s="113" t="str">
        <f ca="1">IFERROR(INDEX(#REF!,Q95),"")</f>
        <v/>
      </c>
      <c r="U95" s="113" t="str">
        <f ca="1">SUBSTITUTE(IFERROR(INDEX(#REF!,Q95),""),0,"")</f>
        <v/>
      </c>
      <c r="V95" s="132" t="str">
        <f ca="1">SUBSTITUTE(IFERROR(INDEX(#REF!,Q95),""),0,"")</f>
        <v/>
      </c>
      <c r="W95" s="113"/>
      <c r="X95" s="133" t="e">
        <f>IF(ROW(E1632)-ROW($E$1548)&lt;ROWS(#REF!),IFERROR(IF(INDEX(list_cofunders[private?],MATCH(Budget!#REF!,list_cofunders[list cofunders],0),1)="yes",Budget!#REF!,""),""),"")</f>
        <v>#REF!</v>
      </c>
      <c r="Y95" s="134" t="e">
        <f>IF(ROW(E1735)-ROW($E$1651)&lt;ROWS(#REF!),IFERROR(IF(INDEX(list_cofunders[private?],MATCH(Budget!#REF!,list_cofunders[list cofunders],0),1)="yes",Budget!#REF!,""),""),"")</f>
        <v>#REF!</v>
      </c>
      <c r="Z95" s="113" t="str">
        <f>IFERROR(INDEX(#REF!,X95),"")</f>
        <v/>
      </c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CZ95" s="22"/>
      <c r="DA95" s="22"/>
      <c r="DB95" s="22"/>
      <c r="DC95" s="22"/>
      <c r="DD95" s="22"/>
      <c r="DE95" s="22"/>
      <c r="DF95" s="22"/>
      <c r="DG95" s="22"/>
      <c r="DH95" s="22"/>
    </row>
    <row r="96" spans="2:112" s="21" customFormat="1" ht="11.25" customHeight="1" outlineLevel="1" x14ac:dyDescent="0.35">
      <c r="B96" s="83" t="e">
        <f ca="1">IF(IFERROR(MATCH("*Other*",OFFSET(Budget!#REF!,B95,0,ROWS(#REF!),1),0)+B95,999)&lt;ROWS(#REF!),IFERROR(MATCH("*Other*",OFFSET(Budget!#REF!,B95,0,ROWS(#REF!),1),0)+B95,999),"")</f>
        <v>#REF!</v>
      </c>
      <c r="C96" s="70" t="str">
        <f ca="1">IFERROR(INDEX(#REF!,B96),"")</f>
        <v/>
      </c>
      <c r="E96" s="83" t="e">
        <f ca="1">IF(MIN(IFERROR(MATCH("*PostDoc*",OFFSET(Budget!#REF!,E95,0,ROWS(#REF!),1),0)+E95,999),IFERROR(MATCH("*PhD*",OFFSET(Budget!#REF!,E95,0,ROWS(#REF!),1),0)+E95,999),IFERROR(MATCH("*PDEng*",OFFSET(Budget!#REF!,E95,0,ROWS(#REF!),1),0)+E95,999))&lt;ROWS(#REF!),MIN(IFERROR(MATCH("*PostDoc*",OFFSET(Budget!#REF!,E95,0,ROWS(#REF!),1),0)+E95,999),IFERROR(MATCH("*PhD*",OFFSET(Budget!#REF!,E95,0,ROWS(#REF!),1),0)+E95,999),IFERROR(MATCH("*PDEng*",OFFSET(Budget!#REF!,E95,0,ROWS(#REF!),1),0)+E95,999)),"")</f>
        <v>#REF!</v>
      </c>
      <c r="F96" s="74" t="str">
        <f ca="1">IFERROR(INDEX(#REF!,E96)*INDEX(#REF!,E96)/12,"")</f>
        <v/>
      </c>
      <c r="G96" s="90"/>
      <c r="H96" s="83" t="e">
        <f ca="1">IF(IFERROR(MATCH("*researcher*",OFFSET(Budget!#REF!,H95,0,ROWS(#REF!),1),0)+H95,999)&lt;ROWS(#REF!),IFERROR(MATCH("*researcher*",OFFSET(Budget!#REF!,H95,0,ROWS(#REF!),1),0)+H95,999),"")</f>
        <v>#REF!</v>
      </c>
      <c r="I96" s="74" t="str">
        <f ca="1">IF(ISERROR(IF(AND(INDEX(#REF!,H96)&gt;=pers_oi_min_months,INDEX(#REF!,H96)/INDEX(#REF!,H96)*12/pers_other_nrhours_year&gt;=pers_oi_minFTE)=TRUE,INDEX(#REF!,H96)/12,0)),"",IF(AND(INDEX(#REF!,H96)&gt;=pers_oi_min_months,INDEX(#REF!,H96)/INDEX(#REF!,H96)*12/pers_other_nrhours_year&gt;=pers_oi_minFTE)=TRUE,INDEX(#REF!,H96)/12,""))</f>
        <v/>
      </c>
      <c r="J96" s="90"/>
      <c r="K96" s="83" t="e">
        <f ca="1">IF(IFERROR(MATCH("*Non-scientific*",OFFSET(Budget!#REF!,K95,0,ROWS(#REF!),1),0)+K95,999)&lt;ROWS(#REF!),IFERROR(MATCH("*Non-scientific*",OFFSET(Budget!#REF!,K95,0,ROWS(#REF!),1),0)+K95,999),"")</f>
        <v>#REF!</v>
      </c>
      <c r="L96" s="70" t="str">
        <f ca="1">IFERROR(INDEX(#REF!,K96),"")</f>
        <v/>
      </c>
      <c r="M96" s="113"/>
      <c r="N96" s="83" t="e">
        <f ca="1">IF(IFERROR(MATCH("*leave*",OFFSET(Budget!#REF!,N95,0,ROWS(#REF!),1),0)+N95,999)&lt;ROWS(#REF!),IFERROR(MATCH("*leave*",OFFSET(Budget!#REF!,N95,0,ROWS(#REF!),1),0)+N95,999),"")</f>
        <v>#REF!</v>
      </c>
      <c r="O96" s="88" t="str">
        <f ca="1">IFERROR(INDEX(#REF!,N96)*INDEX(#REF!,N96),"")</f>
        <v/>
      </c>
      <c r="P96" s="113"/>
      <c r="Q96" s="83" t="e">
        <f ca="1">IF(MIN(IFERROR(MATCH("*PostDoc*",OFFSET(Budget!#REF!,Q95,0,ROWS(#REF!)-Q95,1),0)+Q95,999),IFERROR(MATCH("*PhD*",OFFSET(Budget!#REF!,Q95,0,ROWS(#REF!)-Q95,1),0)+Q95,999),IFERROR(MATCH("*PDEng*",OFFSET(Budget!#REF!,Q95,0,ROWS(#REF!)-Q95,1),0)+Q95,999),IFERROR(MATCH("*Doctorate*",OFFSET(Budget!#REF!,Q95,0,ROWS(#REF!)-Q95,1),0)+Q95,999))&lt;ROWS(#REF!),MIN(IFERROR(MATCH("*PostDoc*",OFFSET(Budget!#REF!,Q95,0,ROWS(#REF!)-Q95,1),0)+Q95,999),IFERROR(MATCH("*PhD*",OFFSET(Budget!#REF!,Q95,0,ROWS(#REF!)-Q95,1),0)+Q95,999),IFERROR(MATCH("*PDEng*",OFFSET(Budget!#REF!,Q95,0,ROWS(#REF!)-Q95,1),0)+Q95,999),IFERROR(MATCH("*Doctorate*",OFFSET(Budget!#REF!,Q95,0,ROWS(#REF!)-Q95,1),0)+Q95,999)),"")</f>
        <v>#REF!</v>
      </c>
      <c r="R96" s="113" t="str">
        <f ca="1">IFERROR(INDEX(#REF!,Q96),"")</f>
        <v/>
      </c>
      <c r="S96" s="113" t="str">
        <f ca="1">IFERROR(INDEX(#REF!,Q96),"")</f>
        <v/>
      </c>
      <c r="T96" s="113" t="str">
        <f ca="1">IFERROR(INDEX(#REF!,Q96),"")</f>
        <v/>
      </c>
      <c r="U96" s="113" t="str">
        <f ca="1">SUBSTITUTE(IFERROR(INDEX(#REF!,Q96),""),0,"")</f>
        <v/>
      </c>
      <c r="V96" s="132" t="str">
        <f ca="1">SUBSTITUTE(IFERROR(INDEX(#REF!,Q96),""),0,"")</f>
        <v/>
      </c>
      <c r="W96" s="113"/>
      <c r="X96" s="133" t="e">
        <f>IF(ROW(E1633)-ROW($E$1548)&lt;ROWS(#REF!),IFERROR(IF(INDEX(list_cofunders[private?],MATCH(Budget!#REF!,list_cofunders[list cofunders],0),1)="yes",Budget!#REF!,""),""),"")</f>
        <v>#REF!</v>
      </c>
      <c r="Y96" s="134" t="e">
        <f>IF(ROW(E1736)-ROW($E$1651)&lt;ROWS(#REF!),IFERROR(IF(INDEX(list_cofunders[private?],MATCH(Budget!#REF!,list_cofunders[list cofunders],0),1)="yes",Budget!#REF!,""),""),"")</f>
        <v>#REF!</v>
      </c>
      <c r="Z96" s="113" t="str">
        <f>IFERROR(INDEX(#REF!,X96),"")</f>
        <v/>
      </c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CZ96" s="22"/>
      <c r="DA96" s="22"/>
      <c r="DB96" s="22"/>
      <c r="DC96" s="22"/>
      <c r="DD96" s="22"/>
      <c r="DE96" s="22"/>
      <c r="DF96" s="22"/>
      <c r="DG96" s="22"/>
      <c r="DH96" s="22"/>
    </row>
    <row r="97" spans="2:112" s="21" customFormat="1" ht="11.25" customHeight="1" outlineLevel="1" x14ac:dyDescent="0.35">
      <c r="B97" s="83" t="e">
        <f ca="1">IF(IFERROR(MATCH("*Other*",OFFSET(Budget!#REF!,B96,0,ROWS(#REF!),1),0)+B96,999)&lt;ROWS(#REF!),IFERROR(MATCH("*Other*",OFFSET(Budget!#REF!,B96,0,ROWS(#REF!),1),0)+B96,999),"")</f>
        <v>#REF!</v>
      </c>
      <c r="C97" s="70" t="str">
        <f ca="1">IFERROR(INDEX(#REF!,B97),"")</f>
        <v/>
      </c>
      <c r="E97" s="83" t="e">
        <f ca="1">IF(MIN(IFERROR(MATCH("*PostDoc*",OFFSET(Budget!#REF!,E96,0,ROWS(#REF!),1),0)+E96,999),IFERROR(MATCH("*PhD*",OFFSET(Budget!#REF!,E96,0,ROWS(#REF!),1),0)+E96,999),IFERROR(MATCH("*PDEng*",OFFSET(Budget!#REF!,E96,0,ROWS(#REF!),1),0)+E96,999))&lt;ROWS(#REF!),MIN(IFERROR(MATCH("*PostDoc*",OFFSET(Budget!#REF!,E96,0,ROWS(#REF!),1),0)+E96,999),IFERROR(MATCH("*PhD*",OFFSET(Budget!#REF!,E96,0,ROWS(#REF!),1),0)+E96,999),IFERROR(MATCH("*PDEng*",OFFSET(Budget!#REF!,E96,0,ROWS(#REF!),1),0)+E96,999)),"")</f>
        <v>#REF!</v>
      </c>
      <c r="F97" s="74" t="str">
        <f ca="1">IFERROR(INDEX(#REF!,E97)*INDEX(#REF!,E97)/12,"")</f>
        <v/>
      </c>
      <c r="G97" s="90"/>
      <c r="H97" s="83" t="e">
        <f ca="1">IF(IFERROR(MATCH("*researcher*",OFFSET(Budget!#REF!,H96,0,ROWS(#REF!),1),0)+H96,999)&lt;ROWS(#REF!),IFERROR(MATCH("*researcher*",OFFSET(Budget!#REF!,H96,0,ROWS(#REF!),1),0)+H96,999),"")</f>
        <v>#REF!</v>
      </c>
      <c r="I97" s="74" t="str">
        <f ca="1">IF(ISERROR(IF(AND(INDEX(#REF!,H97)&gt;=pers_oi_min_months,INDEX(#REF!,H97)/INDEX(#REF!,H97)*12/pers_other_nrhours_year&gt;=pers_oi_minFTE)=TRUE,INDEX(#REF!,H97)/12,0)),"",IF(AND(INDEX(#REF!,H97)&gt;=pers_oi_min_months,INDEX(#REF!,H97)/INDEX(#REF!,H97)*12/pers_other_nrhours_year&gt;=pers_oi_minFTE)=TRUE,INDEX(#REF!,H97)/12,""))</f>
        <v/>
      </c>
      <c r="J97" s="90"/>
      <c r="K97" s="83" t="e">
        <f ca="1">IF(IFERROR(MATCH("*Non-scientific*",OFFSET(Budget!#REF!,K96,0,ROWS(#REF!),1),0)+K96,999)&lt;ROWS(#REF!),IFERROR(MATCH("*Non-scientific*",OFFSET(Budget!#REF!,K96,0,ROWS(#REF!),1),0)+K96,999),"")</f>
        <v>#REF!</v>
      </c>
      <c r="L97" s="70" t="str">
        <f ca="1">IFERROR(INDEX(#REF!,K97),"")</f>
        <v/>
      </c>
      <c r="M97" s="113"/>
      <c r="N97" s="83" t="e">
        <f ca="1">IF(IFERROR(MATCH("*leave*",OFFSET(Budget!#REF!,N96,0,ROWS(#REF!),1),0)+N96,999)&lt;ROWS(#REF!),IFERROR(MATCH("*leave*",OFFSET(Budget!#REF!,N96,0,ROWS(#REF!),1),0)+N96,999),"")</f>
        <v>#REF!</v>
      </c>
      <c r="O97" s="88" t="str">
        <f ca="1">IFERROR(INDEX(#REF!,N97)*INDEX(#REF!,N97),"")</f>
        <v/>
      </c>
      <c r="P97" s="113"/>
      <c r="Q97" s="83" t="e">
        <f ca="1">IF(MIN(IFERROR(MATCH("*PostDoc*",OFFSET(Budget!#REF!,Q96,0,ROWS(#REF!)-Q96,1),0)+Q96,999),IFERROR(MATCH("*PhD*",OFFSET(Budget!#REF!,Q96,0,ROWS(#REF!)-Q96,1),0)+Q96,999),IFERROR(MATCH("*PDEng*",OFFSET(Budget!#REF!,Q96,0,ROWS(#REF!)-Q96,1),0)+Q96,999),IFERROR(MATCH("*Doctorate*",OFFSET(Budget!#REF!,Q96,0,ROWS(#REF!)-Q96,1),0)+Q96,999))&lt;ROWS(#REF!),MIN(IFERROR(MATCH("*PostDoc*",OFFSET(Budget!#REF!,Q96,0,ROWS(#REF!)-Q96,1),0)+Q96,999),IFERROR(MATCH("*PhD*",OFFSET(Budget!#REF!,Q96,0,ROWS(#REF!)-Q96,1),0)+Q96,999),IFERROR(MATCH("*PDEng*",OFFSET(Budget!#REF!,Q96,0,ROWS(#REF!)-Q96,1),0)+Q96,999),IFERROR(MATCH("*Doctorate*",OFFSET(Budget!#REF!,Q96,0,ROWS(#REF!)-Q96,1),0)+Q96,999)),"")</f>
        <v>#REF!</v>
      </c>
      <c r="R97" s="113" t="str">
        <f ca="1">IFERROR(INDEX(#REF!,Q97),"")</f>
        <v/>
      </c>
      <c r="S97" s="113" t="str">
        <f ca="1">IFERROR(INDEX(#REF!,Q97),"")</f>
        <v/>
      </c>
      <c r="T97" s="113" t="str">
        <f ca="1">IFERROR(INDEX(#REF!,Q97),"")</f>
        <v/>
      </c>
      <c r="U97" s="113" t="str">
        <f ca="1">SUBSTITUTE(IFERROR(INDEX(#REF!,Q97),""),0,"")</f>
        <v/>
      </c>
      <c r="V97" s="132" t="str">
        <f ca="1">SUBSTITUTE(IFERROR(INDEX(#REF!,Q97),""),0,"")</f>
        <v/>
      </c>
      <c r="W97" s="113"/>
      <c r="X97" s="133" t="e">
        <f>IF(ROW(E1634)-ROW($E$1548)&lt;ROWS(#REF!),IFERROR(IF(INDEX(list_cofunders[private?],MATCH(Budget!#REF!,list_cofunders[list cofunders],0),1)="yes",Budget!#REF!,""),""),"")</f>
        <v>#REF!</v>
      </c>
      <c r="Y97" s="134" t="e">
        <f>IF(ROW(E1737)-ROW($E$1651)&lt;ROWS(#REF!),IFERROR(IF(INDEX(list_cofunders[private?],MATCH(Budget!#REF!,list_cofunders[list cofunders],0),1)="yes",Budget!#REF!,""),""),"")</f>
        <v>#REF!</v>
      </c>
      <c r="Z97" s="113" t="str">
        <f>IFERROR(INDEX(#REF!,X97),"")</f>
        <v/>
      </c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CZ97" s="22"/>
      <c r="DA97" s="22"/>
      <c r="DB97" s="22"/>
      <c r="DC97" s="22"/>
      <c r="DD97" s="22"/>
      <c r="DE97" s="22"/>
      <c r="DF97" s="22"/>
      <c r="DG97" s="22"/>
      <c r="DH97" s="22"/>
    </row>
    <row r="98" spans="2:112" s="21" customFormat="1" ht="11.25" customHeight="1" outlineLevel="1" x14ac:dyDescent="0.35">
      <c r="B98" s="83" t="e">
        <f ca="1">IF(IFERROR(MATCH("*Other*",OFFSET(Budget!#REF!,B97,0,ROWS(#REF!),1),0)+B97,999)&lt;ROWS(#REF!),IFERROR(MATCH("*Other*",OFFSET(Budget!#REF!,B97,0,ROWS(#REF!),1),0)+B97,999),"")</f>
        <v>#REF!</v>
      </c>
      <c r="C98" s="70" t="str">
        <f ca="1">IFERROR(INDEX(#REF!,B98),"")</f>
        <v/>
      </c>
      <c r="E98" s="83" t="e">
        <f ca="1">IF(MIN(IFERROR(MATCH("*PostDoc*",OFFSET(Budget!#REF!,E97,0,ROWS(#REF!),1),0)+E97,999),IFERROR(MATCH("*PhD*",OFFSET(Budget!#REF!,E97,0,ROWS(#REF!),1),0)+E97,999),IFERROR(MATCH("*PDEng*",OFFSET(Budget!#REF!,E97,0,ROWS(#REF!),1),0)+E97,999))&lt;ROWS(#REF!),MIN(IFERROR(MATCH("*PostDoc*",OFFSET(Budget!#REF!,E97,0,ROWS(#REF!),1),0)+E97,999),IFERROR(MATCH("*PhD*",OFFSET(Budget!#REF!,E97,0,ROWS(#REF!),1),0)+E97,999),IFERROR(MATCH("*PDEng*",OFFSET(Budget!#REF!,E97,0,ROWS(#REF!),1),0)+E97,999)),"")</f>
        <v>#REF!</v>
      </c>
      <c r="F98" s="74" t="str">
        <f ca="1">IFERROR(INDEX(#REF!,E98)*INDEX(#REF!,E98)/12,"")</f>
        <v/>
      </c>
      <c r="G98" s="90"/>
      <c r="H98" s="83" t="e">
        <f ca="1">IF(IFERROR(MATCH("*researcher*",OFFSET(Budget!#REF!,H97,0,ROWS(#REF!),1),0)+H97,999)&lt;ROWS(#REF!),IFERROR(MATCH("*researcher*",OFFSET(Budget!#REF!,H97,0,ROWS(#REF!),1),0)+H97,999),"")</f>
        <v>#REF!</v>
      </c>
      <c r="I98" s="74" t="str">
        <f ca="1">IF(ISERROR(IF(AND(INDEX(#REF!,H98)&gt;=pers_oi_min_months,INDEX(#REF!,H98)/INDEX(#REF!,H98)*12/pers_other_nrhours_year&gt;=pers_oi_minFTE)=TRUE,INDEX(#REF!,H98)/12,0)),"",IF(AND(INDEX(#REF!,H98)&gt;=pers_oi_min_months,INDEX(#REF!,H98)/INDEX(#REF!,H98)*12/pers_other_nrhours_year&gt;=pers_oi_minFTE)=TRUE,INDEX(#REF!,H98)/12,""))</f>
        <v/>
      </c>
      <c r="J98" s="90"/>
      <c r="K98" s="83" t="e">
        <f ca="1">IF(IFERROR(MATCH("*Non-scientific*",OFFSET(Budget!#REF!,K97,0,ROWS(#REF!),1),0)+K97,999)&lt;ROWS(#REF!),IFERROR(MATCH("*Non-scientific*",OFFSET(Budget!#REF!,K97,0,ROWS(#REF!),1),0)+K97,999),"")</f>
        <v>#REF!</v>
      </c>
      <c r="L98" s="70" t="str">
        <f ca="1">IFERROR(INDEX(#REF!,K98),"")</f>
        <v/>
      </c>
      <c r="M98" s="113"/>
      <c r="N98" s="83" t="e">
        <f ca="1">IF(IFERROR(MATCH("*leave*",OFFSET(Budget!#REF!,N97,0,ROWS(#REF!),1),0)+N97,999)&lt;ROWS(#REF!),IFERROR(MATCH("*leave*",OFFSET(Budget!#REF!,N97,0,ROWS(#REF!),1),0)+N97,999),"")</f>
        <v>#REF!</v>
      </c>
      <c r="O98" s="88" t="str">
        <f ca="1">IFERROR(INDEX(#REF!,N98)*INDEX(#REF!,N98),"")</f>
        <v/>
      </c>
      <c r="P98" s="113"/>
      <c r="Q98" s="83" t="e">
        <f ca="1">IF(MIN(IFERROR(MATCH("*PostDoc*",OFFSET(Budget!#REF!,Q97,0,ROWS(#REF!)-Q97,1),0)+Q97,999),IFERROR(MATCH("*PhD*",OFFSET(Budget!#REF!,Q97,0,ROWS(#REF!)-Q97,1),0)+Q97,999),IFERROR(MATCH("*PDEng*",OFFSET(Budget!#REF!,Q97,0,ROWS(#REF!)-Q97,1),0)+Q97,999),IFERROR(MATCH("*Doctorate*",OFFSET(Budget!#REF!,Q97,0,ROWS(#REF!)-Q97,1),0)+Q97,999))&lt;ROWS(#REF!),MIN(IFERROR(MATCH("*PostDoc*",OFFSET(Budget!#REF!,Q97,0,ROWS(#REF!)-Q97,1),0)+Q97,999),IFERROR(MATCH("*PhD*",OFFSET(Budget!#REF!,Q97,0,ROWS(#REF!)-Q97,1),0)+Q97,999),IFERROR(MATCH("*PDEng*",OFFSET(Budget!#REF!,Q97,0,ROWS(#REF!)-Q97,1),0)+Q97,999),IFERROR(MATCH("*Doctorate*",OFFSET(Budget!#REF!,Q97,0,ROWS(#REF!)-Q97,1),0)+Q97,999)),"")</f>
        <v>#REF!</v>
      </c>
      <c r="R98" s="113" t="str">
        <f ca="1">IFERROR(INDEX(#REF!,Q98),"")</f>
        <v/>
      </c>
      <c r="S98" s="113" t="str">
        <f ca="1">IFERROR(INDEX(#REF!,Q98),"")</f>
        <v/>
      </c>
      <c r="T98" s="113" t="str">
        <f ca="1">IFERROR(INDEX(#REF!,Q98),"")</f>
        <v/>
      </c>
      <c r="U98" s="113" t="str">
        <f ca="1">SUBSTITUTE(IFERROR(INDEX(#REF!,Q98),""),0,"")</f>
        <v/>
      </c>
      <c r="V98" s="132" t="str">
        <f ca="1">SUBSTITUTE(IFERROR(INDEX(#REF!,Q98),""),0,"")</f>
        <v/>
      </c>
      <c r="W98" s="113"/>
      <c r="X98" s="133" t="e">
        <f>IF(ROW(E1635)-ROW($E$1548)&lt;ROWS(#REF!),IFERROR(IF(INDEX(list_cofunders[private?],MATCH(Budget!#REF!,list_cofunders[list cofunders],0),1)="yes",Budget!#REF!,""),""),"")</f>
        <v>#REF!</v>
      </c>
      <c r="Y98" s="134" t="e">
        <f>IF(ROW(E1738)-ROW($E$1651)&lt;ROWS(#REF!),IFERROR(IF(INDEX(list_cofunders[private?],MATCH(Budget!#REF!,list_cofunders[list cofunders],0),1)="yes",Budget!#REF!,""),""),"")</f>
        <v>#REF!</v>
      </c>
      <c r="Z98" s="113" t="str">
        <f>IFERROR(INDEX(#REF!,X98),"")</f>
        <v/>
      </c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CZ98" s="22"/>
      <c r="DA98" s="22"/>
      <c r="DB98" s="22"/>
      <c r="DC98" s="22"/>
      <c r="DD98" s="22"/>
      <c r="DE98" s="22"/>
      <c r="DF98" s="22"/>
      <c r="DG98" s="22"/>
      <c r="DH98" s="22"/>
    </row>
    <row r="99" spans="2:112" s="21" customFormat="1" ht="11.25" customHeight="1" outlineLevel="1" x14ac:dyDescent="0.35">
      <c r="B99" s="83" t="e">
        <f ca="1">IF(IFERROR(MATCH("*Other*",OFFSET(Budget!#REF!,B98,0,ROWS(#REF!),1),0)+B98,999)&lt;ROWS(#REF!),IFERROR(MATCH("*Other*",OFFSET(Budget!#REF!,B98,0,ROWS(#REF!),1),0)+B98,999),"")</f>
        <v>#REF!</v>
      </c>
      <c r="C99" s="70" t="str">
        <f ca="1">IFERROR(INDEX(#REF!,B99),"")</f>
        <v/>
      </c>
      <c r="E99" s="83" t="e">
        <f ca="1">IF(MIN(IFERROR(MATCH("*PostDoc*",OFFSET(Budget!#REF!,E98,0,ROWS(#REF!),1),0)+E98,999),IFERROR(MATCH("*PhD*",OFFSET(Budget!#REF!,E98,0,ROWS(#REF!),1),0)+E98,999),IFERROR(MATCH("*PDEng*",OFFSET(Budget!#REF!,E98,0,ROWS(#REF!),1),0)+E98,999))&lt;ROWS(#REF!),MIN(IFERROR(MATCH("*PostDoc*",OFFSET(Budget!#REF!,E98,0,ROWS(#REF!),1),0)+E98,999),IFERROR(MATCH("*PhD*",OFFSET(Budget!#REF!,E98,0,ROWS(#REF!),1),0)+E98,999),IFERROR(MATCH("*PDEng*",OFFSET(Budget!#REF!,E98,0,ROWS(#REF!),1),0)+E98,999)),"")</f>
        <v>#REF!</v>
      </c>
      <c r="F99" s="74" t="str">
        <f ca="1">IFERROR(INDEX(#REF!,E99)*INDEX(#REF!,E99)/12,"")</f>
        <v/>
      </c>
      <c r="G99" s="90"/>
      <c r="H99" s="83" t="e">
        <f ca="1">IF(IFERROR(MATCH("*researcher*",OFFSET(Budget!#REF!,H98,0,ROWS(#REF!),1),0)+H98,999)&lt;ROWS(#REF!),IFERROR(MATCH("*researcher*",OFFSET(Budget!#REF!,H98,0,ROWS(#REF!),1),0)+H98,999),"")</f>
        <v>#REF!</v>
      </c>
      <c r="I99" s="74" t="str">
        <f ca="1">IF(ISERROR(IF(AND(INDEX(#REF!,H99)&gt;=pers_oi_min_months,INDEX(#REF!,H99)/INDEX(#REF!,H99)*12/pers_other_nrhours_year&gt;=pers_oi_minFTE)=TRUE,INDEX(#REF!,H99)/12,0)),"",IF(AND(INDEX(#REF!,H99)&gt;=pers_oi_min_months,INDEX(#REF!,H99)/INDEX(#REF!,H99)*12/pers_other_nrhours_year&gt;=pers_oi_minFTE)=TRUE,INDEX(#REF!,H99)/12,""))</f>
        <v/>
      </c>
      <c r="J99" s="90"/>
      <c r="K99" s="83" t="e">
        <f ca="1">IF(IFERROR(MATCH("*Non-scientific*",OFFSET(Budget!#REF!,K98,0,ROWS(#REF!),1),0)+K98,999)&lt;ROWS(#REF!),IFERROR(MATCH("*Non-scientific*",OFFSET(Budget!#REF!,K98,0,ROWS(#REF!),1),0)+K98,999),"")</f>
        <v>#REF!</v>
      </c>
      <c r="L99" s="70" t="str">
        <f ca="1">IFERROR(INDEX(#REF!,K99),"")</f>
        <v/>
      </c>
      <c r="M99" s="113"/>
      <c r="N99" s="83" t="e">
        <f ca="1">IF(IFERROR(MATCH("*leave*",OFFSET(Budget!#REF!,N98,0,ROWS(#REF!),1),0)+N98,999)&lt;ROWS(#REF!),IFERROR(MATCH("*leave*",OFFSET(Budget!#REF!,N98,0,ROWS(#REF!),1),0)+N98,999),"")</f>
        <v>#REF!</v>
      </c>
      <c r="O99" s="88" t="str">
        <f ca="1">IFERROR(INDEX(#REF!,N99)*INDEX(#REF!,N99),"")</f>
        <v/>
      </c>
      <c r="P99" s="113"/>
      <c r="Q99" s="83" t="e">
        <f ca="1">IF(MIN(IFERROR(MATCH("*PostDoc*",OFFSET(Budget!#REF!,Q98,0,ROWS(#REF!)-Q98,1),0)+Q98,999),IFERROR(MATCH("*PhD*",OFFSET(Budget!#REF!,Q98,0,ROWS(#REF!)-Q98,1),0)+Q98,999),IFERROR(MATCH("*PDEng*",OFFSET(Budget!#REF!,Q98,0,ROWS(#REF!)-Q98,1),0)+Q98,999),IFERROR(MATCH("*Doctorate*",OFFSET(Budget!#REF!,Q98,0,ROWS(#REF!)-Q98,1),0)+Q98,999))&lt;ROWS(#REF!),MIN(IFERROR(MATCH("*PostDoc*",OFFSET(Budget!#REF!,Q98,0,ROWS(#REF!)-Q98,1),0)+Q98,999),IFERROR(MATCH("*PhD*",OFFSET(Budget!#REF!,Q98,0,ROWS(#REF!)-Q98,1),0)+Q98,999),IFERROR(MATCH("*PDEng*",OFFSET(Budget!#REF!,Q98,0,ROWS(#REF!)-Q98,1),0)+Q98,999),IFERROR(MATCH("*Doctorate*",OFFSET(Budget!#REF!,Q98,0,ROWS(#REF!)-Q98,1),0)+Q98,999)),"")</f>
        <v>#REF!</v>
      </c>
      <c r="R99" s="113" t="str">
        <f ca="1">IFERROR(INDEX(#REF!,Q99),"")</f>
        <v/>
      </c>
      <c r="S99" s="113" t="str">
        <f ca="1">IFERROR(INDEX(#REF!,Q99),"")</f>
        <v/>
      </c>
      <c r="T99" s="113" t="str">
        <f ca="1">IFERROR(INDEX(#REF!,Q99),"")</f>
        <v/>
      </c>
      <c r="U99" s="113" t="str">
        <f ca="1">SUBSTITUTE(IFERROR(INDEX(#REF!,Q99),""),0,"")</f>
        <v/>
      </c>
      <c r="V99" s="132" t="str">
        <f ca="1">SUBSTITUTE(IFERROR(INDEX(#REF!,Q99),""),0,"")</f>
        <v/>
      </c>
      <c r="W99" s="113"/>
      <c r="X99" s="133" t="e">
        <f>IF(ROW(E1636)-ROW($E$1548)&lt;ROWS(#REF!),IFERROR(IF(INDEX(list_cofunders[private?],MATCH(Budget!#REF!,list_cofunders[list cofunders],0),1)="yes",Budget!#REF!,""),""),"")</f>
        <v>#REF!</v>
      </c>
      <c r="Y99" s="134" t="e">
        <f>IF(ROW(E1739)-ROW($E$1651)&lt;ROWS(#REF!),IFERROR(IF(INDEX(list_cofunders[private?],MATCH(Budget!#REF!,list_cofunders[list cofunders],0),1)="yes",Budget!#REF!,""),""),"")</f>
        <v>#REF!</v>
      </c>
      <c r="Z99" s="113" t="str">
        <f>IFERROR(INDEX(#REF!,X99),"")</f>
        <v/>
      </c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CZ99" s="22"/>
      <c r="DA99" s="22"/>
      <c r="DB99" s="22"/>
      <c r="DC99" s="22"/>
      <c r="DD99" s="22"/>
      <c r="DE99" s="22"/>
      <c r="DF99" s="22"/>
      <c r="DG99" s="22"/>
      <c r="DH99" s="22"/>
    </row>
    <row r="100" spans="2:112" s="21" customFormat="1" ht="11.25" customHeight="1" outlineLevel="1" x14ac:dyDescent="0.35">
      <c r="B100" s="83" t="e">
        <f ca="1">IF(IFERROR(MATCH("*Other*",OFFSET(Budget!#REF!,B99,0,ROWS(#REF!),1),0)+B99,999)&lt;ROWS(#REF!),IFERROR(MATCH("*Other*",OFFSET(Budget!#REF!,B99,0,ROWS(#REF!),1),0)+B99,999),"")</f>
        <v>#REF!</v>
      </c>
      <c r="C100" s="70" t="str">
        <f ca="1">IFERROR(INDEX(#REF!,B100),"")</f>
        <v/>
      </c>
      <c r="E100" s="83" t="e">
        <f ca="1">IF(MIN(IFERROR(MATCH("*PostDoc*",OFFSET(Budget!#REF!,E99,0,ROWS(#REF!),1),0)+E99,999),IFERROR(MATCH("*PhD*",OFFSET(Budget!#REF!,E99,0,ROWS(#REF!),1),0)+E99,999),IFERROR(MATCH("*PDEng*",OFFSET(Budget!#REF!,E99,0,ROWS(#REF!),1),0)+E99,999))&lt;ROWS(#REF!),MIN(IFERROR(MATCH("*PostDoc*",OFFSET(Budget!#REF!,E99,0,ROWS(#REF!),1),0)+E99,999),IFERROR(MATCH("*PhD*",OFFSET(Budget!#REF!,E99,0,ROWS(#REF!),1),0)+E99,999),IFERROR(MATCH("*PDEng*",OFFSET(Budget!#REF!,E99,0,ROWS(#REF!),1),0)+E99,999)),"")</f>
        <v>#REF!</v>
      </c>
      <c r="F100" s="74" t="str">
        <f ca="1">IFERROR(INDEX(#REF!,E100)*INDEX(#REF!,E100)/12,"")</f>
        <v/>
      </c>
      <c r="G100" s="90"/>
      <c r="H100" s="83" t="e">
        <f ca="1">IF(IFERROR(MATCH("*researcher*",OFFSET(Budget!#REF!,H99,0,ROWS(#REF!),1),0)+H99,999)&lt;ROWS(#REF!),IFERROR(MATCH("*researcher*",OFFSET(Budget!#REF!,H99,0,ROWS(#REF!),1),0)+H99,999),"")</f>
        <v>#REF!</v>
      </c>
      <c r="I100" s="74" t="str">
        <f ca="1">IF(ISERROR(IF(AND(INDEX(#REF!,H100)&gt;=pers_oi_min_months,INDEX(#REF!,H100)/INDEX(#REF!,H100)*12/pers_other_nrhours_year&gt;=pers_oi_minFTE)=TRUE,INDEX(#REF!,H100)/12,0)),"",IF(AND(INDEX(#REF!,H100)&gt;=pers_oi_min_months,INDEX(#REF!,H100)/INDEX(#REF!,H100)*12/pers_other_nrhours_year&gt;=pers_oi_minFTE)=TRUE,INDEX(#REF!,H100)/12,""))</f>
        <v/>
      </c>
      <c r="J100" s="90"/>
      <c r="K100" s="83" t="e">
        <f ca="1">IF(IFERROR(MATCH("*Non-scientific*",OFFSET(Budget!#REF!,K99,0,ROWS(#REF!),1),0)+K99,999)&lt;ROWS(#REF!),IFERROR(MATCH("*Non-scientific*",OFFSET(Budget!#REF!,K99,0,ROWS(#REF!),1),0)+K99,999),"")</f>
        <v>#REF!</v>
      </c>
      <c r="L100" s="70" t="str">
        <f ca="1">IFERROR(INDEX(#REF!,K100),"")</f>
        <v/>
      </c>
      <c r="M100" s="113"/>
      <c r="N100" s="83" t="e">
        <f ca="1">IF(IFERROR(MATCH("*leave*",OFFSET(Budget!#REF!,N99,0,ROWS(#REF!),1),0)+N99,999)&lt;ROWS(#REF!),IFERROR(MATCH("*leave*",OFFSET(Budget!#REF!,N99,0,ROWS(#REF!),1),0)+N99,999),"")</f>
        <v>#REF!</v>
      </c>
      <c r="O100" s="88" t="str">
        <f ca="1">IFERROR(INDEX(#REF!,N100)*INDEX(#REF!,N100),"")</f>
        <v/>
      </c>
      <c r="P100" s="113"/>
      <c r="Q100" s="83" t="e">
        <f ca="1">IF(MIN(IFERROR(MATCH("*PostDoc*",OFFSET(Budget!#REF!,Q99,0,ROWS(#REF!)-Q99,1),0)+Q99,999),IFERROR(MATCH("*PhD*",OFFSET(Budget!#REF!,Q99,0,ROWS(#REF!)-Q99,1),0)+Q99,999),IFERROR(MATCH("*PDEng*",OFFSET(Budget!#REF!,Q99,0,ROWS(#REF!)-Q99,1),0)+Q99,999),IFERROR(MATCH("*Doctorate*",OFFSET(Budget!#REF!,Q99,0,ROWS(#REF!)-Q99,1),0)+Q99,999))&lt;ROWS(#REF!),MIN(IFERROR(MATCH("*PostDoc*",OFFSET(Budget!#REF!,Q99,0,ROWS(#REF!)-Q99,1),0)+Q99,999),IFERROR(MATCH("*PhD*",OFFSET(Budget!#REF!,Q99,0,ROWS(#REF!)-Q99,1),0)+Q99,999),IFERROR(MATCH("*PDEng*",OFFSET(Budget!#REF!,Q99,0,ROWS(#REF!)-Q99,1),0)+Q99,999),IFERROR(MATCH("*Doctorate*",OFFSET(Budget!#REF!,Q99,0,ROWS(#REF!)-Q99,1),0)+Q99,999)),"")</f>
        <v>#REF!</v>
      </c>
      <c r="R100" s="113" t="str">
        <f ca="1">IFERROR(INDEX(#REF!,Q100),"")</f>
        <v/>
      </c>
      <c r="S100" s="113" t="str">
        <f ca="1">IFERROR(INDEX(#REF!,Q100),"")</f>
        <v/>
      </c>
      <c r="T100" s="113" t="str">
        <f ca="1">IFERROR(INDEX(#REF!,Q100),"")</f>
        <v/>
      </c>
      <c r="U100" s="113" t="str">
        <f ca="1">SUBSTITUTE(IFERROR(INDEX(#REF!,Q100),""),0,"")</f>
        <v/>
      </c>
      <c r="V100" s="132" t="str">
        <f ca="1">SUBSTITUTE(IFERROR(INDEX(#REF!,Q100),""),0,"")</f>
        <v/>
      </c>
      <c r="W100" s="113"/>
      <c r="X100" s="133" t="e">
        <f>IF(ROW(E1637)-ROW($E$1548)&lt;ROWS(#REF!),IFERROR(IF(INDEX(list_cofunders[private?],MATCH(Budget!#REF!,list_cofunders[list cofunders],0),1)="yes",Budget!#REF!,""),""),"")</f>
        <v>#REF!</v>
      </c>
      <c r="Y100" s="134" t="e">
        <f>IF(ROW(E1740)-ROW($E$1651)&lt;ROWS(#REF!),IFERROR(IF(INDEX(list_cofunders[private?],MATCH(Budget!#REF!,list_cofunders[list cofunders],0),1)="yes",Budget!#REF!,""),""),"")</f>
        <v>#REF!</v>
      </c>
      <c r="Z100" s="113" t="str">
        <f>IFERROR(INDEX(#REF!,X100),"")</f>
        <v/>
      </c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CZ100" s="22"/>
      <c r="DA100" s="22"/>
      <c r="DB100" s="22"/>
      <c r="DC100" s="22"/>
      <c r="DD100" s="22"/>
      <c r="DE100" s="22"/>
      <c r="DF100" s="22"/>
      <c r="DG100" s="22"/>
      <c r="DH100" s="22"/>
    </row>
    <row r="101" spans="2:112" s="21" customFormat="1" ht="11.25" customHeight="1" outlineLevel="1" x14ac:dyDescent="0.35">
      <c r="B101" s="83" t="e">
        <f ca="1">IF(IFERROR(MATCH("*Other*",OFFSET(Budget!#REF!,B100,0,ROWS(#REF!),1),0)+B100,999)&lt;ROWS(#REF!),IFERROR(MATCH("*Other*",OFFSET(Budget!#REF!,B100,0,ROWS(#REF!),1),0)+B100,999),"")</f>
        <v>#REF!</v>
      </c>
      <c r="C101" s="70" t="str">
        <f ca="1">IFERROR(INDEX(#REF!,B101),"")</f>
        <v/>
      </c>
      <c r="E101" s="83" t="e">
        <f ca="1">IF(MIN(IFERROR(MATCH("*PostDoc*",OFFSET(Budget!#REF!,E100,0,ROWS(#REF!),1),0)+E100,999),IFERROR(MATCH("*PhD*",OFFSET(Budget!#REF!,E100,0,ROWS(#REF!),1),0)+E100,999),IFERROR(MATCH("*PDEng*",OFFSET(Budget!#REF!,E100,0,ROWS(#REF!),1),0)+E100,999))&lt;ROWS(#REF!),MIN(IFERROR(MATCH("*PostDoc*",OFFSET(Budget!#REF!,E100,0,ROWS(#REF!),1),0)+E100,999),IFERROR(MATCH("*PhD*",OFFSET(Budget!#REF!,E100,0,ROWS(#REF!),1),0)+E100,999),IFERROR(MATCH("*PDEng*",OFFSET(Budget!#REF!,E100,0,ROWS(#REF!),1),0)+E100,999)),"")</f>
        <v>#REF!</v>
      </c>
      <c r="F101" s="74" t="str">
        <f ca="1">IFERROR(INDEX(#REF!,E101)*INDEX(#REF!,E101)/12,"")</f>
        <v/>
      </c>
      <c r="G101" s="90"/>
      <c r="H101" s="83" t="e">
        <f ca="1">IF(IFERROR(MATCH("*researcher*",OFFSET(Budget!#REF!,H100,0,ROWS(#REF!),1),0)+H100,999)&lt;ROWS(#REF!),IFERROR(MATCH("*researcher*",OFFSET(Budget!#REF!,H100,0,ROWS(#REF!),1),0)+H100,999),"")</f>
        <v>#REF!</v>
      </c>
      <c r="I101" s="74" t="str">
        <f ca="1">IF(ISERROR(IF(AND(INDEX(#REF!,H101)&gt;=pers_oi_min_months,INDEX(#REF!,H101)/INDEX(#REF!,H101)*12/pers_other_nrhours_year&gt;=pers_oi_minFTE)=TRUE,INDEX(#REF!,H101)/12,0)),"",IF(AND(INDEX(#REF!,H101)&gt;=pers_oi_min_months,INDEX(#REF!,H101)/INDEX(#REF!,H101)*12/pers_other_nrhours_year&gt;=pers_oi_minFTE)=TRUE,INDEX(#REF!,H101)/12,""))</f>
        <v/>
      </c>
      <c r="J101" s="90"/>
      <c r="K101" s="83" t="e">
        <f ca="1">IF(IFERROR(MATCH("*Non-scientific*",OFFSET(Budget!#REF!,K100,0,ROWS(#REF!),1),0)+K100,999)&lt;ROWS(#REF!),IFERROR(MATCH("*Non-scientific*",OFFSET(Budget!#REF!,K100,0,ROWS(#REF!),1),0)+K100,999),"")</f>
        <v>#REF!</v>
      </c>
      <c r="L101" s="70" t="str">
        <f ca="1">IFERROR(INDEX(#REF!,K101),"")</f>
        <v/>
      </c>
      <c r="M101" s="113"/>
      <c r="N101" s="83" t="e">
        <f ca="1">IF(IFERROR(MATCH("*leave*",OFFSET(Budget!#REF!,N100,0,ROWS(#REF!),1),0)+N100,999)&lt;ROWS(#REF!),IFERROR(MATCH("*leave*",OFFSET(Budget!#REF!,N100,0,ROWS(#REF!),1),0)+N100,999),"")</f>
        <v>#REF!</v>
      </c>
      <c r="O101" s="88" t="str">
        <f ca="1">IFERROR(INDEX(#REF!,N101)*INDEX(#REF!,N101),"")</f>
        <v/>
      </c>
      <c r="P101" s="113"/>
      <c r="Q101" s="83" t="e">
        <f ca="1">IF(MIN(IFERROR(MATCH("*PostDoc*",OFFSET(Budget!#REF!,Q100,0,ROWS(#REF!)-Q100,1),0)+Q100,999),IFERROR(MATCH("*PhD*",OFFSET(Budget!#REF!,Q100,0,ROWS(#REF!)-Q100,1),0)+Q100,999),IFERROR(MATCH("*PDEng*",OFFSET(Budget!#REF!,Q100,0,ROWS(#REF!)-Q100,1),0)+Q100,999),IFERROR(MATCH("*Doctorate*",OFFSET(Budget!#REF!,Q100,0,ROWS(#REF!)-Q100,1),0)+Q100,999))&lt;ROWS(#REF!),MIN(IFERROR(MATCH("*PostDoc*",OFFSET(Budget!#REF!,Q100,0,ROWS(#REF!)-Q100,1),0)+Q100,999),IFERROR(MATCH("*PhD*",OFFSET(Budget!#REF!,Q100,0,ROWS(#REF!)-Q100,1),0)+Q100,999),IFERROR(MATCH("*PDEng*",OFFSET(Budget!#REF!,Q100,0,ROWS(#REF!)-Q100,1),0)+Q100,999),IFERROR(MATCH("*Doctorate*",OFFSET(Budget!#REF!,Q100,0,ROWS(#REF!)-Q100,1),0)+Q100,999)),"")</f>
        <v>#REF!</v>
      </c>
      <c r="R101" s="113" t="str">
        <f ca="1">IFERROR(INDEX(#REF!,Q101),"")</f>
        <v/>
      </c>
      <c r="S101" s="113" t="str">
        <f ca="1">IFERROR(INDEX(#REF!,Q101),"")</f>
        <v/>
      </c>
      <c r="T101" s="113" t="str">
        <f ca="1">IFERROR(INDEX(#REF!,Q101),"")</f>
        <v/>
      </c>
      <c r="U101" s="113" t="str">
        <f ca="1">SUBSTITUTE(IFERROR(INDEX(#REF!,Q101),""),0,"")</f>
        <v/>
      </c>
      <c r="V101" s="132" t="str">
        <f ca="1">SUBSTITUTE(IFERROR(INDEX(#REF!,Q101),""),0,"")</f>
        <v/>
      </c>
      <c r="W101" s="113"/>
      <c r="X101" s="133" t="e">
        <f>IF(ROW(E1638)-ROW($E$1548)&lt;ROWS(#REF!),IFERROR(IF(INDEX(list_cofunders[private?],MATCH(Budget!#REF!,list_cofunders[list cofunders],0),1)="yes",Budget!#REF!,""),""),"")</f>
        <v>#REF!</v>
      </c>
      <c r="Y101" s="134" t="e">
        <f>IF(ROW(E1741)-ROW($E$1651)&lt;ROWS(#REF!),IFERROR(IF(INDEX(list_cofunders[private?],MATCH(Budget!#REF!,list_cofunders[list cofunders],0),1)="yes",Budget!#REF!,""),""),"")</f>
        <v>#REF!</v>
      </c>
      <c r="Z101" s="113" t="str">
        <f>IFERROR(INDEX(#REF!,X101),"")</f>
        <v/>
      </c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CZ101" s="22"/>
      <c r="DA101" s="22"/>
      <c r="DB101" s="22"/>
      <c r="DC101" s="22"/>
      <c r="DD101" s="22"/>
      <c r="DE101" s="22"/>
      <c r="DF101" s="22"/>
      <c r="DG101" s="22"/>
      <c r="DH101" s="22"/>
    </row>
    <row r="102" spans="2:112" s="21" customFormat="1" ht="11.25" customHeight="1" outlineLevel="1" x14ac:dyDescent="0.35">
      <c r="B102" s="83" t="e">
        <f ca="1">IF(IFERROR(MATCH("*Other*",OFFSET(Budget!#REF!,B101,0,ROWS(#REF!),1),0)+B101,999)&lt;ROWS(#REF!),IFERROR(MATCH("*Other*",OFFSET(Budget!#REF!,B101,0,ROWS(#REF!),1),0)+B101,999),"")</f>
        <v>#REF!</v>
      </c>
      <c r="C102" s="70" t="str">
        <f ca="1">IFERROR(INDEX(#REF!,B102),"")</f>
        <v/>
      </c>
      <c r="E102" s="83" t="e">
        <f ca="1">IF(MIN(IFERROR(MATCH("*PostDoc*",OFFSET(Budget!#REF!,E101,0,ROWS(#REF!),1),0)+E101,999),IFERROR(MATCH("*PhD*",OFFSET(Budget!#REF!,E101,0,ROWS(#REF!),1),0)+E101,999),IFERROR(MATCH("*PDEng*",OFFSET(Budget!#REF!,E101,0,ROWS(#REF!),1),0)+E101,999))&lt;ROWS(#REF!),MIN(IFERROR(MATCH("*PostDoc*",OFFSET(Budget!#REF!,E101,0,ROWS(#REF!),1),0)+E101,999),IFERROR(MATCH("*PhD*",OFFSET(Budget!#REF!,E101,0,ROWS(#REF!),1),0)+E101,999),IFERROR(MATCH("*PDEng*",OFFSET(Budget!#REF!,E101,0,ROWS(#REF!),1),0)+E101,999)),"")</f>
        <v>#REF!</v>
      </c>
      <c r="F102" s="74" t="str">
        <f ca="1">IFERROR(INDEX(#REF!,E102)*INDEX(#REF!,E102)/12,"")</f>
        <v/>
      </c>
      <c r="G102" s="90"/>
      <c r="H102" s="83" t="e">
        <f ca="1">IF(IFERROR(MATCH("*researcher*",OFFSET(Budget!#REF!,H101,0,ROWS(#REF!),1),0)+H101,999)&lt;ROWS(#REF!),IFERROR(MATCH("*researcher*",OFFSET(Budget!#REF!,H101,0,ROWS(#REF!),1),0)+H101,999),"")</f>
        <v>#REF!</v>
      </c>
      <c r="I102" s="74" t="str">
        <f ca="1">IF(ISERROR(IF(AND(INDEX(#REF!,H102)&gt;=pers_oi_min_months,INDEX(#REF!,H102)/INDEX(#REF!,H102)*12/pers_other_nrhours_year&gt;=pers_oi_minFTE)=TRUE,INDEX(#REF!,H102)/12,0)),"",IF(AND(INDEX(#REF!,H102)&gt;=pers_oi_min_months,INDEX(#REF!,H102)/INDEX(#REF!,H102)*12/pers_other_nrhours_year&gt;=pers_oi_minFTE)=TRUE,INDEX(#REF!,H102)/12,""))</f>
        <v/>
      </c>
      <c r="J102" s="90"/>
      <c r="K102" s="83" t="e">
        <f ca="1">IF(IFERROR(MATCH("*Non-scientific*",OFFSET(Budget!#REF!,K101,0,ROWS(#REF!),1),0)+K101,999)&lt;ROWS(#REF!),IFERROR(MATCH("*Non-scientific*",OFFSET(Budget!#REF!,K101,0,ROWS(#REF!),1),0)+K101,999),"")</f>
        <v>#REF!</v>
      </c>
      <c r="L102" s="70" t="str">
        <f ca="1">IFERROR(INDEX(#REF!,K102),"")</f>
        <v/>
      </c>
      <c r="M102" s="113"/>
      <c r="N102" s="83" t="e">
        <f ca="1">IF(IFERROR(MATCH("*leave*",OFFSET(Budget!#REF!,N101,0,ROWS(#REF!),1),0)+N101,999)&lt;ROWS(#REF!),IFERROR(MATCH("*leave*",OFFSET(Budget!#REF!,N101,0,ROWS(#REF!),1),0)+N101,999),"")</f>
        <v>#REF!</v>
      </c>
      <c r="O102" s="88" t="str">
        <f ca="1">IFERROR(INDEX(#REF!,N102)*INDEX(#REF!,N102),"")</f>
        <v/>
      </c>
      <c r="P102" s="113"/>
      <c r="Q102" s="83" t="e">
        <f ca="1">IF(MIN(IFERROR(MATCH("*PostDoc*",OFFSET(Budget!#REF!,Q101,0,ROWS(#REF!)-Q101,1),0)+Q101,999),IFERROR(MATCH("*PhD*",OFFSET(Budget!#REF!,Q101,0,ROWS(#REF!)-Q101,1),0)+Q101,999),IFERROR(MATCH("*PDEng*",OFFSET(Budget!#REF!,Q101,0,ROWS(#REF!)-Q101,1),0)+Q101,999),IFERROR(MATCH("*Doctorate*",OFFSET(Budget!#REF!,Q101,0,ROWS(#REF!)-Q101,1),0)+Q101,999))&lt;ROWS(#REF!),MIN(IFERROR(MATCH("*PostDoc*",OFFSET(Budget!#REF!,Q101,0,ROWS(#REF!)-Q101,1),0)+Q101,999),IFERROR(MATCH("*PhD*",OFFSET(Budget!#REF!,Q101,0,ROWS(#REF!)-Q101,1),0)+Q101,999),IFERROR(MATCH("*PDEng*",OFFSET(Budget!#REF!,Q101,0,ROWS(#REF!)-Q101,1),0)+Q101,999),IFERROR(MATCH("*Doctorate*",OFFSET(Budget!#REF!,Q101,0,ROWS(#REF!)-Q101,1),0)+Q101,999)),"")</f>
        <v>#REF!</v>
      </c>
      <c r="R102" s="113" t="str">
        <f ca="1">IFERROR(INDEX(#REF!,Q102),"")</f>
        <v/>
      </c>
      <c r="S102" s="113" t="str">
        <f ca="1">IFERROR(INDEX(#REF!,Q102),"")</f>
        <v/>
      </c>
      <c r="T102" s="113" t="str">
        <f ca="1">IFERROR(INDEX(#REF!,Q102),"")</f>
        <v/>
      </c>
      <c r="U102" s="113" t="str">
        <f ca="1">SUBSTITUTE(IFERROR(INDEX(#REF!,Q102),""),0,"")</f>
        <v/>
      </c>
      <c r="V102" s="132" t="str">
        <f ca="1">SUBSTITUTE(IFERROR(INDEX(#REF!,Q102),""),0,"")</f>
        <v/>
      </c>
      <c r="W102" s="113"/>
      <c r="X102" s="133" t="e">
        <f>IF(ROW(E1639)-ROW($E$1548)&lt;ROWS(#REF!),IFERROR(IF(INDEX(list_cofunders[private?],MATCH(Budget!#REF!,list_cofunders[list cofunders],0),1)="yes",Budget!#REF!,""),""),"")</f>
        <v>#REF!</v>
      </c>
      <c r="Y102" s="134" t="e">
        <f>IF(ROW(E1742)-ROW($E$1651)&lt;ROWS(#REF!),IFERROR(IF(INDEX(list_cofunders[private?],MATCH(Budget!#REF!,list_cofunders[list cofunders],0),1)="yes",Budget!#REF!,""),""),"")</f>
        <v>#REF!</v>
      </c>
      <c r="Z102" s="113" t="str">
        <f>IFERROR(INDEX(#REF!,X102),"")</f>
        <v/>
      </c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CZ102" s="22"/>
      <c r="DA102" s="22"/>
      <c r="DB102" s="22"/>
      <c r="DC102" s="22"/>
      <c r="DD102" s="22"/>
      <c r="DE102" s="22"/>
      <c r="DF102" s="22"/>
      <c r="DG102" s="22"/>
      <c r="DH102" s="22"/>
    </row>
    <row r="103" spans="2:112" s="21" customFormat="1" ht="11.25" customHeight="1" outlineLevel="1" x14ac:dyDescent="0.35">
      <c r="B103" s="83" t="e">
        <f ca="1">IF(IFERROR(MATCH("*Other*",OFFSET(Budget!#REF!,B102,0,ROWS(#REF!),1),0)+B102,999)&lt;ROWS(#REF!),IFERROR(MATCH("*Other*",OFFSET(Budget!#REF!,B102,0,ROWS(#REF!),1),0)+B102,999),"")</f>
        <v>#REF!</v>
      </c>
      <c r="C103" s="70" t="str">
        <f ca="1">IFERROR(INDEX(#REF!,B103),"")</f>
        <v/>
      </c>
      <c r="E103" s="83" t="e">
        <f ca="1">IF(MIN(IFERROR(MATCH("*PostDoc*",OFFSET(Budget!#REF!,E102,0,ROWS(#REF!),1),0)+E102,999),IFERROR(MATCH("*PhD*",OFFSET(Budget!#REF!,E102,0,ROWS(#REF!),1),0)+E102,999),IFERROR(MATCH("*PDEng*",OFFSET(Budget!#REF!,E102,0,ROWS(#REF!),1),0)+E102,999))&lt;ROWS(#REF!),MIN(IFERROR(MATCH("*PostDoc*",OFFSET(Budget!#REF!,E102,0,ROWS(#REF!),1),0)+E102,999),IFERROR(MATCH("*PhD*",OFFSET(Budget!#REF!,E102,0,ROWS(#REF!),1),0)+E102,999),IFERROR(MATCH("*PDEng*",OFFSET(Budget!#REF!,E102,0,ROWS(#REF!),1),0)+E102,999)),"")</f>
        <v>#REF!</v>
      </c>
      <c r="F103" s="74" t="str">
        <f ca="1">IFERROR(INDEX(#REF!,E103)*INDEX(#REF!,E103)/12,"")</f>
        <v/>
      </c>
      <c r="G103" s="90"/>
      <c r="H103" s="83" t="e">
        <f ca="1">IF(IFERROR(MATCH("*researcher*",OFFSET(Budget!#REF!,H102,0,ROWS(#REF!),1),0)+H102,999)&lt;ROWS(#REF!),IFERROR(MATCH("*researcher*",OFFSET(Budget!#REF!,H102,0,ROWS(#REF!),1),0)+H102,999),"")</f>
        <v>#REF!</v>
      </c>
      <c r="I103" s="74" t="str">
        <f ca="1">IF(ISERROR(IF(AND(INDEX(#REF!,H103)&gt;=pers_oi_min_months,INDEX(#REF!,H103)/INDEX(#REF!,H103)*12/pers_other_nrhours_year&gt;=pers_oi_minFTE)=TRUE,INDEX(#REF!,H103)/12,0)),"",IF(AND(INDEX(#REF!,H103)&gt;=pers_oi_min_months,INDEX(#REF!,H103)/INDEX(#REF!,H103)*12/pers_other_nrhours_year&gt;=pers_oi_minFTE)=TRUE,INDEX(#REF!,H103)/12,""))</f>
        <v/>
      </c>
      <c r="J103" s="90"/>
      <c r="K103" s="83" t="e">
        <f ca="1">IF(IFERROR(MATCH("*Non-scientific*",OFFSET(Budget!#REF!,K102,0,ROWS(#REF!),1),0)+K102,999)&lt;ROWS(#REF!),IFERROR(MATCH("*Non-scientific*",OFFSET(Budget!#REF!,K102,0,ROWS(#REF!),1),0)+K102,999),"")</f>
        <v>#REF!</v>
      </c>
      <c r="L103" s="70" t="str">
        <f ca="1">IFERROR(INDEX(#REF!,K103),"")</f>
        <v/>
      </c>
      <c r="M103" s="113"/>
      <c r="N103" s="83" t="e">
        <f ca="1">IF(IFERROR(MATCH("*leave*",OFFSET(Budget!#REF!,N102,0,ROWS(#REF!),1),0)+N102,999)&lt;ROWS(#REF!),IFERROR(MATCH("*leave*",OFFSET(Budget!#REF!,N102,0,ROWS(#REF!),1),0)+N102,999),"")</f>
        <v>#REF!</v>
      </c>
      <c r="O103" s="88" t="str">
        <f ca="1">IFERROR(INDEX(#REF!,N103)*INDEX(#REF!,N103),"")</f>
        <v/>
      </c>
      <c r="P103" s="113"/>
      <c r="Q103" s="83" t="e">
        <f ca="1">IF(MIN(IFERROR(MATCH("*PostDoc*",OFFSET(Budget!#REF!,Q102,0,ROWS(#REF!)-Q102,1),0)+Q102,999),IFERROR(MATCH("*PhD*",OFFSET(Budget!#REF!,Q102,0,ROWS(#REF!)-Q102,1),0)+Q102,999),IFERROR(MATCH("*PDEng*",OFFSET(Budget!#REF!,Q102,0,ROWS(#REF!)-Q102,1),0)+Q102,999),IFERROR(MATCH("*Doctorate*",OFFSET(Budget!#REF!,Q102,0,ROWS(#REF!)-Q102,1),0)+Q102,999))&lt;ROWS(#REF!),MIN(IFERROR(MATCH("*PostDoc*",OFFSET(Budget!#REF!,Q102,0,ROWS(#REF!)-Q102,1),0)+Q102,999),IFERROR(MATCH("*PhD*",OFFSET(Budget!#REF!,Q102,0,ROWS(#REF!)-Q102,1),0)+Q102,999),IFERROR(MATCH("*PDEng*",OFFSET(Budget!#REF!,Q102,0,ROWS(#REF!)-Q102,1),0)+Q102,999),IFERROR(MATCH("*Doctorate*",OFFSET(Budget!#REF!,Q102,0,ROWS(#REF!)-Q102,1),0)+Q102,999)),"")</f>
        <v>#REF!</v>
      </c>
      <c r="R103" s="113" t="str">
        <f ca="1">IFERROR(INDEX(#REF!,Q103),"")</f>
        <v/>
      </c>
      <c r="S103" s="113" t="str">
        <f ca="1">IFERROR(INDEX(#REF!,Q103),"")</f>
        <v/>
      </c>
      <c r="T103" s="113" t="str">
        <f ca="1">IFERROR(INDEX(#REF!,Q103),"")</f>
        <v/>
      </c>
      <c r="U103" s="113" t="str">
        <f ca="1">SUBSTITUTE(IFERROR(INDEX(#REF!,Q103),""),0,"")</f>
        <v/>
      </c>
      <c r="V103" s="132" t="str">
        <f ca="1">SUBSTITUTE(IFERROR(INDEX(#REF!,Q103),""),0,"")</f>
        <v/>
      </c>
      <c r="W103" s="113"/>
      <c r="X103" s="133" t="e">
        <f>IF(ROW(E1640)-ROW($E$1548)&lt;ROWS(#REF!),IFERROR(IF(INDEX(list_cofunders[private?],MATCH(Budget!#REF!,list_cofunders[list cofunders],0),1)="yes",Budget!#REF!,""),""),"")</f>
        <v>#REF!</v>
      </c>
      <c r="Y103" s="134" t="e">
        <f>IF(ROW(E1743)-ROW($E$1651)&lt;ROWS(#REF!),IFERROR(IF(INDEX(list_cofunders[private?],MATCH(Budget!#REF!,list_cofunders[list cofunders],0),1)="yes",Budget!#REF!,""),""),"")</f>
        <v>#REF!</v>
      </c>
      <c r="Z103" s="113" t="str">
        <f>IFERROR(INDEX(#REF!,X103),"")</f>
        <v/>
      </c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CZ103" s="22"/>
      <c r="DA103" s="22"/>
      <c r="DB103" s="22"/>
      <c r="DC103" s="22"/>
      <c r="DD103" s="22"/>
      <c r="DE103" s="22"/>
      <c r="DF103" s="22"/>
      <c r="DG103" s="22"/>
      <c r="DH103" s="22"/>
    </row>
    <row r="104" spans="2:112" s="21" customFormat="1" ht="11.25" customHeight="1" outlineLevel="1" x14ac:dyDescent="0.35">
      <c r="B104" s="83" t="e">
        <f ca="1">IF(IFERROR(MATCH("*Other*",OFFSET(Budget!#REF!,B103,0,ROWS(#REF!),1),0)+B103,999)&lt;ROWS(#REF!),IFERROR(MATCH("*Other*",OFFSET(Budget!#REF!,B103,0,ROWS(#REF!),1),0)+B103,999),"")</f>
        <v>#REF!</v>
      </c>
      <c r="C104" s="70" t="str">
        <f ca="1">IFERROR(INDEX(#REF!,B104),"")</f>
        <v/>
      </c>
      <c r="E104" s="83" t="e">
        <f ca="1">IF(MIN(IFERROR(MATCH("*PostDoc*",OFFSET(Budget!#REF!,E103,0,ROWS(#REF!),1),0)+E103,999),IFERROR(MATCH("*PhD*",OFFSET(Budget!#REF!,E103,0,ROWS(#REF!),1),0)+E103,999),IFERROR(MATCH("*PDEng*",OFFSET(Budget!#REF!,E103,0,ROWS(#REF!),1),0)+E103,999))&lt;ROWS(#REF!),MIN(IFERROR(MATCH("*PostDoc*",OFFSET(Budget!#REF!,E103,0,ROWS(#REF!),1),0)+E103,999),IFERROR(MATCH("*PhD*",OFFSET(Budget!#REF!,E103,0,ROWS(#REF!),1),0)+E103,999),IFERROR(MATCH("*PDEng*",OFFSET(Budget!#REF!,E103,0,ROWS(#REF!),1),0)+E103,999)),"")</f>
        <v>#REF!</v>
      </c>
      <c r="F104" s="74" t="str">
        <f ca="1">IFERROR(INDEX(#REF!,E104)*INDEX(#REF!,E104)/12,"")</f>
        <v/>
      </c>
      <c r="G104" s="90"/>
      <c r="H104" s="83" t="e">
        <f ca="1">IF(IFERROR(MATCH("*researcher*",OFFSET(Budget!#REF!,H103,0,ROWS(#REF!),1),0)+H103,999)&lt;ROWS(#REF!),IFERROR(MATCH("*researcher*",OFFSET(Budget!#REF!,H103,0,ROWS(#REF!),1),0)+H103,999),"")</f>
        <v>#REF!</v>
      </c>
      <c r="I104" s="74" t="str">
        <f ca="1">IF(ISERROR(IF(AND(INDEX(#REF!,H104)&gt;=pers_oi_min_months,INDEX(#REF!,H104)/INDEX(#REF!,H104)*12/pers_other_nrhours_year&gt;=pers_oi_minFTE)=TRUE,INDEX(#REF!,H104)/12,0)),"",IF(AND(INDEX(#REF!,H104)&gt;=pers_oi_min_months,INDEX(#REF!,H104)/INDEX(#REF!,H104)*12/pers_other_nrhours_year&gt;=pers_oi_minFTE)=TRUE,INDEX(#REF!,H104)/12,""))</f>
        <v/>
      </c>
      <c r="J104" s="90"/>
      <c r="K104" s="83" t="e">
        <f ca="1">IF(IFERROR(MATCH("*Non-scientific*",OFFSET(Budget!#REF!,K103,0,ROWS(#REF!),1),0)+K103,999)&lt;ROWS(#REF!),IFERROR(MATCH("*Non-scientific*",OFFSET(Budget!#REF!,K103,0,ROWS(#REF!),1),0)+K103,999),"")</f>
        <v>#REF!</v>
      </c>
      <c r="L104" s="70" t="str">
        <f ca="1">IFERROR(INDEX(#REF!,K104),"")</f>
        <v/>
      </c>
      <c r="M104" s="113"/>
      <c r="N104" s="83" t="e">
        <f ca="1">IF(IFERROR(MATCH("*leave*",OFFSET(Budget!#REF!,N103,0,ROWS(#REF!),1),0)+N103,999)&lt;ROWS(#REF!),IFERROR(MATCH("*leave*",OFFSET(Budget!#REF!,N103,0,ROWS(#REF!),1),0)+N103,999),"")</f>
        <v>#REF!</v>
      </c>
      <c r="O104" s="88" t="str">
        <f ca="1">IFERROR(INDEX(#REF!,N104)*INDEX(#REF!,N104),"")</f>
        <v/>
      </c>
      <c r="P104" s="113"/>
      <c r="Q104" s="83" t="e">
        <f ca="1">IF(MIN(IFERROR(MATCH("*PostDoc*",OFFSET(Budget!#REF!,Q103,0,ROWS(#REF!)-Q103,1),0)+Q103,999),IFERROR(MATCH("*PhD*",OFFSET(Budget!#REF!,Q103,0,ROWS(#REF!)-Q103,1),0)+Q103,999),IFERROR(MATCH("*PDEng*",OFFSET(Budget!#REF!,Q103,0,ROWS(#REF!)-Q103,1),0)+Q103,999),IFERROR(MATCH("*Doctorate*",OFFSET(Budget!#REF!,Q103,0,ROWS(#REF!)-Q103,1),0)+Q103,999))&lt;ROWS(#REF!),MIN(IFERROR(MATCH("*PostDoc*",OFFSET(Budget!#REF!,Q103,0,ROWS(#REF!)-Q103,1),0)+Q103,999),IFERROR(MATCH("*PhD*",OFFSET(Budget!#REF!,Q103,0,ROWS(#REF!)-Q103,1),0)+Q103,999),IFERROR(MATCH("*PDEng*",OFFSET(Budget!#REF!,Q103,0,ROWS(#REF!)-Q103,1),0)+Q103,999),IFERROR(MATCH("*Doctorate*",OFFSET(Budget!#REF!,Q103,0,ROWS(#REF!)-Q103,1),0)+Q103,999)),"")</f>
        <v>#REF!</v>
      </c>
      <c r="R104" s="113" t="str">
        <f ca="1">IFERROR(INDEX(#REF!,Q104),"")</f>
        <v/>
      </c>
      <c r="S104" s="113" t="str">
        <f ca="1">IFERROR(INDEX(#REF!,Q104),"")</f>
        <v/>
      </c>
      <c r="T104" s="113" t="str">
        <f ca="1">IFERROR(INDEX(#REF!,Q104),"")</f>
        <v/>
      </c>
      <c r="U104" s="113" t="str">
        <f ca="1">SUBSTITUTE(IFERROR(INDEX(#REF!,Q104),""),0,"")</f>
        <v/>
      </c>
      <c r="V104" s="132" t="str">
        <f ca="1">SUBSTITUTE(IFERROR(INDEX(#REF!,Q104),""),0,"")</f>
        <v/>
      </c>
      <c r="W104" s="113"/>
      <c r="X104" s="133" t="e">
        <f>IF(ROW(E1641)-ROW($E$1548)&lt;ROWS(#REF!),IFERROR(IF(INDEX(list_cofunders[private?],MATCH(Budget!#REF!,list_cofunders[list cofunders],0),1)="yes",Budget!#REF!,""),""),"")</f>
        <v>#REF!</v>
      </c>
      <c r="Y104" s="134" t="e">
        <f>IF(ROW(E1744)-ROW($E$1651)&lt;ROWS(#REF!),IFERROR(IF(INDEX(list_cofunders[private?],MATCH(Budget!#REF!,list_cofunders[list cofunders],0),1)="yes",Budget!#REF!,""),""),"")</f>
        <v>#REF!</v>
      </c>
      <c r="Z104" s="113" t="str">
        <f>IFERROR(INDEX(#REF!,X104),"")</f>
        <v/>
      </c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CZ104" s="22"/>
      <c r="DA104" s="22"/>
      <c r="DB104" s="22"/>
      <c r="DC104" s="22"/>
      <c r="DD104" s="22"/>
      <c r="DE104" s="22"/>
      <c r="DF104" s="22"/>
      <c r="DG104" s="22"/>
      <c r="DH104" s="22"/>
    </row>
    <row r="105" spans="2:112" s="21" customFormat="1" ht="11.25" customHeight="1" outlineLevel="1" x14ac:dyDescent="0.35">
      <c r="B105" s="83" t="e">
        <f ca="1">IF(IFERROR(MATCH("*Other*",OFFSET(Budget!#REF!,B104,0,ROWS(#REF!),1),0)+B104,999)&lt;ROWS(#REF!),IFERROR(MATCH("*Other*",OFFSET(Budget!#REF!,B104,0,ROWS(#REF!),1),0)+B104,999),"")</f>
        <v>#REF!</v>
      </c>
      <c r="C105" s="70" t="str">
        <f ca="1">IFERROR(INDEX(#REF!,B105),"")</f>
        <v/>
      </c>
      <c r="E105" s="83" t="e">
        <f ca="1">IF(MIN(IFERROR(MATCH("*PostDoc*",OFFSET(Budget!#REF!,E104,0,ROWS(#REF!),1),0)+E104,999),IFERROR(MATCH("*PhD*",OFFSET(Budget!#REF!,E104,0,ROWS(#REF!),1),0)+E104,999),IFERROR(MATCH("*PDEng*",OFFSET(Budget!#REF!,E104,0,ROWS(#REF!),1),0)+E104,999))&lt;ROWS(#REF!),MIN(IFERROR(MATCH("*PostDoc*",OFFSET(Budget!#REF!,E104,0,ROWS(#REF!),1),0)+E104,999),IFERROR(MATCH("*PhD*",OFFSET(Budget!#REF!,E104,0,ROWS(#REF!),1),0)+E104,999),IFERROR(MATCH("*PDEng*",OFFSET(Budget!#REF!,E104,0,ROWS(#REF!),1),0)+E104,999)),"")</f>
        <v>#REF!</v>
      </c>
      <c r="F105" s="74" t="str">
        <f ca="1">IFERROR(INDEX(#REF!,E105)*INDEX(#REF!,E105)/12,"")</f>
        <v/>
      </c>
      <c r="G105" s="90"/>
      <c r="H105" s="83" t="e">
        <f ca="1">IF(IFERROR(MATCH("*researcher*",OFFSET(Budget!#REF!,H104,0,ROWS(#REF!),1),0)+H104,999)&lt;ROWS(#REF!),IFERROR(MATCH("*researcher*",OFFSET(Budget!#REF!,H104,0,ROWS(#REF!),1),0)+H104,999),"")</f>
        <v>#REF!</v>
      </c>
      <c r="I105" s="74" t="str">
        <f ca="1">IF(ISERROR(IF(AND(INDEX(#REF!,H105)&gt;=pers_oi_min_months,INDEX(#REF!,H105)/INDEX(#REF!,H105)*12/pers_other_nrhours_year&gt;=pers_oi_minFTE)=TRUE,INDEX(#REF!,H105)/12,0)),"",IF(AND(INDEX(#REF!,H105)&gt;=pers_oi_min_months,INDEX(#REF!,H105)/INDEX(#REF!,H105)*12/pers_other_nrhours_year&gt;=pers_oi_minFTE)=TRUE,INDEX(#REF!,H105)/12,""))</f>
        <v/>
      </c>
      <c r="J105" s="90"/>
      <c r="K105" s="83" t="e">
        <f ca="1">IF(IFERROR(MATCH("*Non-scientific*",OFFSET(Budget!#REF!,K104,0,ROWS(#REF!),1),0)+K104,999)&lt;ROWS(#REF!),IFERROR(MATCH("*Non-scientific*",OFFSET(Budget!#REF!,K104,0,ROWS(#REF!),1),0)+K104,999),"")</f>
        <v>#REF!</v>
      </c>
      <c r="L105" s="70" t="str">
        <f ca="1">IFERROR(INDEX(#REF!,K105),"")</f>
        <v/>
      </c>
      <c r="M105" s="113"/>
      <c r="N105" s="83" t="e">
        <f ca="1">IF(IFERROR(MATCH("*leave*",OFFSET(Budget!#REF!,N104,0,ROWS(#REF!),1),0)+N104,999)&lt;ROWS(#REF!),IFERROR(MATCH("*leave*",OFFSET(Budget!#REF!,N104,0,ROWS(#REF!),1),0)+N104,999),"")</f>
        <v>#REF!</v>
      </c>
      <c r="O105" s="88" t="str">
        <f ca="1">IFERROR(INDEX(#REF!,N105)*INDEX(#REF!,N105),"")</f>
        <v/>
      </c>
      <c r="P105" s="113"/>
      <c r="Q105" s="83" t="e">
        <f ca="1">IF(MIN(IFERROR(MATCH("*PostDoc*",OFFSET(Budget!#REF!,Q104,0,ROWS(#REF!)-Q104,1),0)+Q104,999),IFERROR(MATCH("*PhD*",OFFSET(Budget!#REF!,Q104,0,ROWS(#REF!)-Q104,1),0)+Q104,999),IFERROR(MATCH("*PDEng*",OFFSET(Budget!#REF!,Q104,0,ROWS(#REF!)-Q104,1),0)+Q104,999),IFERROR(MATCH("*Doctorate*",OFFSET(Budget!#REF!,Q104,0,ROWS(#REF!)-Q104,1),0)+Q104,999))&lt;ROWS(#REF!),MIN(IFERROR(MATCH("*PostDoc*",OFFSET(Budget!#REF!,Q104,0,ROWS(#REF!)-Q104,1),0)+Q104,999),IFERROR(MATCH("*PhD*",OFFSET(Budget!#REF!,Q104,0,ROWS(#REF!)-Q104,1),0)+Q104,999),IFERROR(MATCH("*PDEng*",OFFSET(Budget!#REF!,Q104,0,ROWS(#REF!)-Q104,1),0)+Q104,999),IFERROR(MATCH("*Doctorate*",OFFSET(Budget!#REF!,Q104,0,ROWS(#REF!)-Q104,1),0)+Q104,999)),"")</f>
        <v>#REF!</v>
      </c>
      <c r="R105" s="113" t="str">
        <f ca="1">IFERROR(INDEX(#REF!,Q105),"")</f>
        <v/>
      </c>
      <c r="S105" s="113" t="str">
        <f ca="1">IFERROR(INDEX(#REF!,Q105),"")</f>
        <v/>
      </c>
      <c r="T105" s="113" t="str">
        <f ca="1">IFERROR(INDEX(#REF!,Q105),"")</f>
        <v/>
      </c>
      <c r="U105" s="113" t="str">
        <f ca="1">SUBSTITUTE(IFERROR(INDEX(#REF!,Q105),""),0,"")</f>
        <v/>
      </c>
      <c r="V105" s="132" t="str">
        <f ca="1">SUBSTITUTE(IFERROR(INDEX(#REF!,Q105),""),0,"")</f>
        <v/>
      </c>
      <c r="W105" s="113"/>
      <c r="X105" s="133" t="e">
        <f>IF(ROW(E1642)-ROW($E$1548)&lt;ROWS(#REF!),IFERROR(IF(INDEX(list_cofunders[private?],MATCH(Budget!#REF!,list_cofunders[list cofunders],0),1)="yes",Budget!#REF!,""),""),"")</f>
        <v>#REF!</v>
      </c>
      <c r="Y105" s="134" t="e">
        <f>IF(ROW(E1745)-ROW($E$1651)&lt;ROWS(#REF!),IFERROR(IF(INDEX(list_cofunders[private?],MATCH(Budget!#REF!,list_cofunders[list cofunders],0),1)="yes",Budget!#REF!,""),""),"")</f>
        <v>#REF!</v>
      </c>
      <c r="Z105" s="113" t="str">
        <f>IFERROR(INDEX(#REF!,X105),"")</f>
        <v/>
      </c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CZ105" s="22"/>
      <c r="DA105" s="22"/>
      <c r="DB105" s="22"/>
      <c r="DC105" s="22"/>
      <c r="DD105" s="22"/>
      <c r="DE105" s="22"/>
      <c r="DF105" s="22"/>
      <c r="DG105" s="22"/>
      <c r="DH105" s="22"/>
    </row>
    <row r="106" spans="2:112" s="21" customFormat="1" ht="11.25" customHeight="1" outlineLevel="1" x14ac:dyDescent="0.35">
      <c r="B106" s="83" t="e">
        <f ca="1">IF(IFERROR(MATCH("*Other*",OFFSET(Budget!#REF!,B105,0,ROWS(#REF!),1),0)+B105,999)&lt;ROWS(#REF!),IFERROR(MATCH("*Other*",OFFSET(Budget!#REF!,B105,0,ROWS(#REF!),1),0)+B105,999),"")</f>
        <v>#REF!</v>
      </c>
      <c r="C106" s="70" t="str">
        <f ca="1">IFERROR(INDEX(#REF!,B106),"")</f>
        <v/>
      </c>
      <c r="E106" s="83" t="e">
        <f ca="1">IF(MIN(IFERROR(MATCH("*PostDoc*",OFFSET(Budget!#REF!,E105,0,ROWS(#REF!),1),0)+E105,999),IFERROR(MATCH("*PhD*",OFFSET(Budget!#REF!,E105,0,ROWS(#REF!),1),0)+E105,999),IFERROR(MATCH("*PDEng*",OFFSET(Budget!#REF!,E105,0,ROWS(#REF!),1),0)+E105,999))&lt;ROWS(#REF!),MIN(IFERROR(MATCH("*PostDoc*",OFFSET(Budget!#REF!,E105,0,ROWS(#REF!),1),0)+E105,999),IFERROR(MATCH("*PhD*",OFFSET(Budget!#REF!,E105,0,ROWS(#REF!),1),0)+E105,999),IFERROR(MATCH("*PDEng*",OFFSET(Budget!#REF!,E105,0,ROWS(#REF!),1),0)+E105,999)),"")</f>
        <v>#REF!</v>
      </c>
      <c r="F106" s="74" t="str">
        <f ca="1">IFERROR(INDEX(#REF!,E106)*INDEX(#REF!,E106)/12,"")</f>
        <v/>
      </c>
      <c r="G106" s="90"/>
      <c r="H106" s="83" t="e">
        <f ca="1">IF(IFERROR(MATCH("*researcher*",OFFSET(Budget!#REF!,H105,0,ROWS(#REF!),1),0)+H105,999)&lt;ROWS(#REF!),IFERROR(MATCH("*researcher*",OFFSET(Budget!#REF!,H105,0,ROWS(#REF!),1),0)+H105,999),"")</f>
        <v>#REF!</v>
      </c>
      <c r="I106" s="74" t="str">
        <f ca="1">IF(ISERROR(IF(AND(INDEX(#REF!,H106)&gt;=pers_oi_min_months,INDEX(#REF!,H106)/INDEX(#REF!,H106)*12/pers_other_nrhours_year&gt;=pers_oi_minFTE)=TRUE,INDEX(#REF!,H106)/12,0)),"",IF(AND(INDEX(#REF!,H106)&gt;=pers_oi_min_months,INDEX(#REF!,H106)/INDEX(#REF!,H106)*12/pers_other_nrhours_year&gt;=pers_oi_minFTE)=TRUE,INDEX(#REF!,H106)/12,""))</f>
        <v/>
      </c>
      <c r="J106" s="90"/>
      <c r="K106" s="83" t="e">
        <f ca="1">IF(IFERROR(MATCH("*Non-scientific*",OFFSET(Budget!#REF!,K105,0,ROWS(#REF!),1),0)+K105,999)&lt;ROWS(#REF!),IFERROR(MATCH("*Non-scientific*",OFFSET(Budget!#REF!,K105,0,ROWS(#REF!),1),0)+K105,999),"")</f>
        <v>#REF!</v>
      </c>
      <c r="L106" s="70" t="str">
        <f ca="1">IFERROR(INDEX(#REF!,K106),"")</f>
        <v/>
      </c>
      <c r="M106" s="113"/>
      <c r="N106" s="83" t="e">
        <f ca="1">IF(IFERROR(MATCH("*leave*",OFFSET(Budget!#REF!,N105,0,ROWS(#REF!),1),0)+N105,999)&lt;ROWS(#REF!),IFERROR(MATCH("*leave*",OFFSET(Budget!#REF!,N105,0,ROWS(#REF!),1),0)+N105,999),"")</f>
        <v>#REF!</v>
      </c>
      <c r="O106" s="88" t="str">
        <f ca="1">IFERROR(INDEX(#REF!,N106)*INDEX(#REF!,N106),"")</f>
        <v/>
      </c>
      <c r="P106" s="113"/>
      <c r="Q106" s="83" t="e">
        <f ca="1">IF(MIN(IFERROR(MATCH("*PostDoc*",OFFSET(Budget!#REF!,Q105,0,ROWS(#REF!)-Q105,1),0)+Q105,999),IFERROR(MATCH("*PhD*",OFFSET(Budget!#REF!,Q105,0,ROWS(#REF!)-Q105,1),0)+Q105,999),IFERROR(MATCH("*PDEng*",OFFSET(Budget!#REF!,Q105,0,ROWS(#REF!)-Q105,1),0)+Q105,999),IFERROR(MATCH("*Doctorate*",OFFSET(Budget!#REF!,Q105,0,ROWS(#REF!)-Q105,1),0)+Q105,999))&lt;ROWS(#REF!),MIN(IFERROR(MATCH("*PostDoc*",OFFSET(Budget!#REF!,Q105,0,ROWS(#REF!)-Q105,1),0)+Q105,999),IFERROR(MATCH("*PhD*",OFFSET(Budget!#REF!,Q105,0,ROWS(#REF!)-Q105,1),0)+Q105,999),IFERROR(MATCH("*PDEng*",OFFSET(Budget!#REF!,Q105,0,ROWS(#REF!)-Q105,1),0)+Q105,999),IFERROR(MATCH("*Doctorate*",OFFSET(Budget!#REF!,Q105,0,ROWS(#REF!)-Q105,1),0)+Q105,999)),"")</f>
        <v>#REF!</v>
      </c>
      <c r="R106" s="113" t="str">
        <f ca="1">IFERROR(INDEX(#REF!,Q106),"")</f>
        <v/>
      </c>
      <c r="S106" s="113" t="str">
        <f ca="1">IFERROR(INDEX(#REF!,Q106),"")</f>
        <v/>
      </c>
      <c r="T106" s="113" t="str">
        <f ca="1">IFERROR(INDEX(#REF!,Q106),"")</f>
        <v/>
      </c>
      <c r="U106" s="113" t="str">
        <f ca="1">SUBSTITUTE(IFERROR(INDEX(#REF!,Q106),""),0,"")</f>
        <v/>
      </c>
      <c r="V106" s="132" t="str">
        <f ca="1">SUBSTITUTE(IFERROR(INDEX(#REF!,Q106),""),0,"")</f>
        <v/>
      </c>
      <c r="W106" s="113"/>
      <c r="X106" s="133" t="e">
        <f>IF(ROW(E1643)-ROW($E$1548)&lt;ROWS(#REF!),IFERROR(IF(INDEX(list_cofunders[private?],MATCH(Budget!#REF!,list_cofunders[list cofunders],0),1)="yes",Budget!#REF!,""),""),"")</f>
        <v>#REF!</v>
      </c>
      <c r="Y106" s="134" t="e">
        <f>IF(ROW(E1746)-ROW($E$1651)&lt;ROWS(#REF!),IFERROR(IF(INDEX(list_cofunders[private?],MATCH(Budget!#REF!,list_cofunders[list cofunders],0),1)="yes",Budget!#REF!,""),""),"")</f>
        <v>#REF!</v>
      </c>
      <c r="Z106" s="113" t="str">
        <f>IFERROR(INDEX(#REF!,X106),"")</f>
        <v/>
      </c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CZ106" s="22"/>
      <c r="DA106" s="22"/>
      <c r="DB106" s="22"/>
      <c r="DC106" s="22"/>
      <c r="DD106" s="22"/>
      <c r="DE106" s="22"/>
      <c r="DF106" s="22"/>
      <c r="DG106" s="22"/>
      <c r="DH106" s="22"/>
    </row>
    <row r="107" spans="2:112" s="21" customFormat="1" ht="11.25" customHeight="1" outlineLevel="1" x14ac:dyDescent="0.35">
      <c r="B107" s="83" t="e">
        <f ca="1">IF(IFERROR(MATCH("*Other*",OFFSET(Budget!#REF!,B106,0,ROWS(#REF!),1),0)+B106,999)&lt;ROWS(#REF!),IFERROR(MATCH("*Other*",OFFSET(Budget!#REF!,B106,0,ROWS(#REF!),1),0)+B106,999),"")</f>
        <v>#REF!</v>
      </c>
      <c r="C107" s="70" t="str">
        <f ca="1">IFERROR(INDEX(#REF!,B107),"")</f>
        <v/>
      </c>
      <c r="E107" s="83" t="e">
        <f ca="1">IF(MIN(IFERROR(MATCH("*PostDoc*",OFFSET(Budget!#REF!,E106,0,ROWS(#REF!),1),0)+E106,999),IFERROR(MATCH("*PhD*",OFFSET(Budget!#REF!,E106,0,ROWS(#REF!),1),0)+E106,999),IFERROR(MATCH("*PDEng*",OFFSET(Budget!#REF!,E106,0,ROWS(#REF!),1),0)+E106,999))&lt;ROWS(#REF!),MIN(IFERROR(MATCH("*PostDoc*",OFFSET(Budget!#REF!,E106,0,ROWS(#REF!),1),0)+E106,999),IFERROR(MATCH("*PhD*",OFFSET(Budget!#REF!,E106,0,ROWS(#REF!),1),0)+E106,999),IFERROR(MATCH("*PDEng*",OFFSET(Budget!#REF!,E106,0,ROWS(#REF!),1),0)+E106,999)),"")</f>
        <v>#REF!</v>
      </c>
      <c r="F107" s="74" t="str">
        <f ca="1">IFERROR(INDEX(#REF!,E107)*INDEX(#REF!,E107)/12,"")</f>
        <v/>
      </c>
      <c r="G107" s="90"/>
      <c r="H107" s="83" t="e">
        <f ca="1">IF(IFERROR(MATCH("*researcher*",OFFSET(Budget!#REF!,H106,0,ROWS(#REF!),1),0)+H106,999)&lt;ROWS(#REF!),IFERROR(MATCH("*researcher*",OFFSET(Budget!#REF!,H106,0,ROWS(#REF!),1),0)+H106,999),"")</f>
        <v>#REF!</v>
      </c>
      <c r="I107" s="74" t="str">
        <f ca="1">IF(ISERROR(IF(AND(INDEX(#REF!,H107)&gt;=pers_oi_min_months,INDEX(#REF!,H107)/INDEX(#REF!,H107)*12/pers_other_nrhours_year&gt;=pers_oi_minFTE)=TRUE,INDEX(#REF!,H107)/12,0)),"",IF(AND(INDEX(#REF!,H107)&gt;=pers_oi_min_months,INDEX(#REF!,H107)/INDEX(#REF!,H107)*12/pers_other_nrhours_year&gt;=pers_oi_minFTE)=TRUE,INDEX(#REF!,H107)/12,""))</f>
        <v/>
      </c>
      <c r="J107" s="90"/>
      <c r="K107" s="83" t="e">
        <f ca="1">IF(IFERROR(MATCH("*Non-scientific*",OFFSET(Budget!#REF!,K106,0,ROWS(#REF!),1),0)+K106,999)&lt;ROWS(#REF!),IFERROR(MATCH("*Non-scientific*",OFFSET(Budget!#REF!,K106,0,ROWS(#REF!),1),0)+K106,999),"")</f>
        <v>#REF!</v>
      </c>
      <c r="L107" s="70" t="str">
        <f ca="1">IFERROR(INDEX(#REF!,K107),"")</f>
        <v/>
      </c>
      <c r="M107" s="113"/>
      <c r="N107" s="83" t="e">
        <f ca="1">IF(IFERROR(MATCH("*leave*",OFFSET(Budget!#REF!,N106,0,ROWS(#REF!),1),0)+N106,999)&lt;ROWS(#REF!),IFERROR(MATCH("*leave*",OFFSET(Budget!#REF!,N106,0,ROWS(#REF!),1),0)+N106,999),"")</f>
        <v>#REF!</v>
      </c>
      <c r="O107" s="88" t="str">
        <f ca="1">IFERROR(INDEX(#REF!,N107)*INDEX(#REF!,N107),"")</f>
        <v/>
      </c>
      <c r="P107" s="113"/>
      <c r="Q107" s="83" t="e">
        <f ca="1">IF(MIN(IFERROR(MATCH("*PostDoc*",OFFSET(Budget!#REF!,Q106,0,ROWS(#REF!)-Q106,1),0)+Q106,999),IFERROR(MATCH("*PhD*",OFFSET(Budget!#REF!,Q106,0,ROWS(#REF!)-Q106,1),0)+Q106,999),IFERROR(MATCH("*PDEng*",OFFSET(Budget!#REF!,Q106,0,ROWS(#REF!)-Q106,1),0)+Q106,999),IFERROR(MATCH("*Doctorate*",OFFSET(Budget!#REF!,Q106,0,ROWS(#REF!)-Q106,1),0)+Q106,999))&lt;ROWS(#REF!),MIN(IFERROR(MATCH("*PostDoc*",OFFSET(Budget!#REF!,Q106,0,ROWS(#REF!)-Q106,1),0)+Q106,999),IFERROR(MATCH("*PhD*",OFFSET(Budget!#REF!,Q106,0,ROWS(#REF!)-Q106,1),0)+Q106,999),IFERROR(MATCH("*PDEng*",OFFSET(Budget!#REF!,Q106,0,ROWS(#REF!)-Q106,1),0)+Q106,999),IFERROR(MATCH("*Doctorate*",OFFSET(Budget!#REF!,Q106,0,ROWS(#REF!)-Q106,1),0)+Q106,999)),"")</f>
        <v>#REF!</v>
      </c>
      <c r="R107" s="113" t="str">
        <f ca="1">IFERROR(INDEX(#REF!,Q107),"")</f>
        <v/>
      </c>
      <c r="S107" s="113" t="str">
        <f ca="1">IFERROR(INDEX(#REF!,Q107),"")</f>
        <v/>
      </c>
      <c r="T107" s="113" t="str">
        <f ca="1">IFERROR(INDEX(#REF!,Q107),"")</f>
        <v/>
      </c>
      <c r="U107" s="113" t="str">
        <f ca="1">SUBSTITUTE(IFERROR(INDEX(#REF!,Q107),""),0,"")</f>
        <v/>
      </c>
      <c r="V107" s="132" t="str">
        <f ca="1">SUBSTITUTE(IFERROR(INDEX(#REF!,Q107),""),0,"")</f>
        <v/>
      </c>
      <c r="W107" s="113"/>
      <c r="X107" s="133" t="e">
        <f>IF(ROW(E1644)-ROW($E$1548)&lt;ROWS(#REF!),IFERROR(IF(INDEX(list_cofunders[private?],MATCH(Budget!#REF!,list_cofunders[list cofunders],0),1)="yes",Budget!#REF!,""),""),"")</f>
        <v>#REF!</v>
      </c>
      <c r="Y107" s="134" t="e">
        <f>IF(ROW(E1747)-ROW($E$1651)&lt;ROWS(#REF!),IFERROR(IF(INDEX(list_cofunders[private?],MATCH(Budget!#REF!,list_cofunders[list cofunders],0),1)="yes",Budget!#REF!,""),""),"")</f>
        <v>#REF!</v>
      </c>
      <c r="Z107" s="113" t="str">
        <f>IFERROR(INDEX(#REF!,X107),"")</f>
        <v/>
      </c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CZ107" s="22"/>
      <c r="DA107" s="22"/>
      <c r="DB107" s="22"/>
      <c r="DC107" s="22"/>
      <c r="DD107" s="22"/>
      <c r="DE107" s="22"/>
      <c r="DF107" s="22"/>
      <c r="DG107" s="22"/>
      <c r="DH107" s="22"/>
    </row>
    <row r="108" spans="2:112" s="21" customFormat="1" ht="11.25" customHeight="1" outlineLevel="1" x14ac:dyDescent="0.35">
      <c r="B108" s="83" t="e">
        <f ca="1">IF(IFERROR(MATCH("*Other*",OFFSET(Budget!#REF!,B107,0,ROWS(#REF!),1),0)+B107,999)&lt;ROWS(#REF!),IFERROR(MATCH("*Other*",OFFSET(Budget!#REF!,B107,0,ROWS(#REF!),1),0)+B107,999),"")</f>
        <v>#REF!</v>
      </c>
      <c r="C108" s="70" t="str">
        <f ca="1">IFERROR(INDEX(#REF!,B108),"")</f>
        <v/>
      </c>
      <c r="E108" s="83" t="e">
        <f ca="1">IF(MIN(IFERROR(MATCH("*PostDoc*",OFFSET(Budget!#REF!,E107,0,ROWS(#REF!),1),0)+E107,999),IFERROR(MATCH("*PhD*",OFFSET(Budget!#REF!,E107,0,ROWS(#REF!),1),0)+E107,999),IFERROR(MATCH("*PDEng*",OFFSET(Budget!#REF!,E107,0,ROWS(#REF!),1),0)+E107,999))&lt;ROWS(#REF!),MIN(IFERROR(MATCH("*PostDoc*",OFFSET(Budget!#REF!,E107,0,ROWS(#REF!),1),0)+E107,999),IFERROR(MATCH("*PhD*",OFFSET(Budget!#REF!,E107,0,ROWS(#REF!),1),0)+E107,999),IFERROR(MATCH("*PDEng*",OFFSET(Budget!#REF!,E107,0,ROWS(#REF!),1),0)+E107,999)),"")</f>
        <v>#REF!</v>
      </c>
      <c r="F108" s="74" t="str">
        <f ca="1">IFERROR(INDEX(#REF!,E108)*INDEX(#REF!,E108)/12,"")</f>
        <v/>
      </c>
      <c r="G108" s="90"/>
      <c r="H108" s="83" t="e">
        <f ca="1">IF(IFERROR(MATCH("*researcher*",OFFSET(Budget!#REF!,H107,0,ROWS(#REF!),1),0)+H107,999)&lt;ROWS(#REF!),IFERROR(MATCH("*researcher*",OFFSET(Budget!#REF!,H107,0,ROWS(#REF!),1),0)+H107,999),"")</f>
        <v>#REF!</v>
      </c>
      <c r="I108" s="74" t="str">
        <f ca="1">IF(ISERROR(IF(AND(INDEX(#REF!,H108)&gt;=pers_oi_min_months,INDEX(#REF!,H108)/INDEX(#REF!,H108)*12/pers_other_nrhours_year&gt;=pers_oi_minFTE)=TRUE,INDEX(#REF!,H108)/12,0)),"",IF(AND(INDEX(#REF!,H108)&gt;=pers_oi_min_months,INDEX(#REF!,H108)/INDEX(#REF!,H108)*12/pers_other_nrhours_year&gt;=pers_oi_minFTE)=TRUE,INDEX(#REF!,H108)/12,""))</f>
        <v/>
      </c>
      <c r="J108" s="90"/>
      <c r="K108" s="83" t="e">
        <f ca="1">IF(IFERROR(MATCH("*Non-scientific*",OFFSET(Budget!#REF!,K107,0,ROWS(#REF!),1),0)+K107,999)&lt;ROWS(#REF!),IFERROR(MATCH("*Non-scientific*",OFFSET(Budget!#REF!,K107,0,ROWS(#REF!),1),0)+K107,999),"")</f>
        <v>#REF!</v>
      </c>
      <c r="L108" s="70" t="str">
        <f ca="1">IFERROR(INDEX(#REF!,K108),"")</f>
        <v/>
      </c>
      <c r="M108" s="113"/>
      <c r="N108" s="83" t="e">
        <f ca="1">IF(IFERROR(MATCH("*leave*",OFFSET(Budget!#REF!,N107,0,ROWS(#REF!),1),0)+N107,999)&lt;ROWS(#REF!),IFERROR(MATCH("*leave*",OFFSET(Budget!#REF!,N107,0,ROWS(#REF!),1),0)+N107,999),"")</f>
        <v>#REF!</v>
      </c>
      <c r="O108" s="88" t="str">
        <f ca="1">IFERROR(INDEX(#REF!,N108)*INDEX(#REF!,N108),"")</f>
        <v/>
      </c>
      <c r="P108" s="113"/>
      <c r="Q108" s="83" t="e">
        <f ca="1">IF(MIN(IFERROR(MATCH("*PostDoc*",OFFSET(Budget!#REF!,Q107,0,ROWS(#REF!)-Q107,1),0)+Q107,999),IFERROR(MATCH("*PhD*",OFFSET(Budget!#REF!,Q107,0,ROWS(#REF!)-Q107,1),0)+Q107,999),IFERROR(MATCH("*PDEng*",OFFSET(Budget!#REF!,Q107,0,ROWS(#REF!)-Q107,1),0)+Q107,999),IFERROR(MATCH("*Doctorate*",OFFSET(Budget!#REF!,Q107,0,ROWS(#REF!)-Q107,1),0)+Q107,999))&lt;ROWS(#REF!),MIN(IFERROR(MATCH("*PostDoc*",OFFSET(Budget!#REF!,Q107,0,ROWS(#REF!)-Q107,1),0)+Q107,999),IFERROR(MATCH("*PhD*",OFFSET(Budget!#REF!,Q107,0,ROWS(#REF!)-Q107,1),0)+Q107,999),IFERROR(MATCH("*PDEng*",OFFSET(Budget!#REF!,Q107,0,ROWS(#REF!)-Q107,1),0)+Q107,999),IFERROR(MATCH("*Doctorate*",OFFSET(Budget!#REF!,Q107,0,ROWS(#REF!)-Q107,1),0)+Q107,999)),"")</f>
        <v>#REF!</v>
      </c>
      <c r="R108" s="113" t="str">
        <f ca="1">IFERROR(INDEX(#REF!,Q108),"")</f>
        <v/>
      </c>
      <c r="S108" s="113" t="str">
        <f ca="1">IFERROR(INDEX(#REF!,Q108),"")</f>
        <v/>
      </c>
      <c r="T108" s="113" t="str">
        <f ca="1">IFERROR(INDEX(#REF!,Q108),"")</f>
        <v/>
      </c>
      <c r="U108" s="113" t="str">
        <f ca="1">SUBSTITUTE(IFERROR(INDEX(#REF!,Q108),""),0,"")</f>
        <v/>
      </c>
      <c r="V108" s="132" t="str">
        <f ca="1">SUBSTITUTE(IFERROR(INDEX(#REF!,Q108),""),0,"")</f>
        <v/>
      </c>
      <c r="W108" s="113"/>
      <c r="X108" s="133" t="e">
        <f>IF(ROW(E1645)-ROW($E$1548)&lt;ROWS(#REF!),IFERROR(IF(INDEX(list_cofunders[private?],MATCH(Budget!#REF!,list_cofunders[list cofunders],0),1)="yes",Budget!#REF!,""),""),"")</f>
        <v>#REF!</v>
      </c>
      <c r="Y108" s="134" t="e">
        <f>IF(ROW(E1748)-ROW($E$1651)&lt;ROWS(#REF!),IFERROR(IF(INDEX(list_cofunders[private?],MATCH(Budget!#REF!,list_cofunders[list cofunders],0),1)="yes",Budget!#REF!,""),""),"")</f>
        <v>#REF!</v>
      </c>
      <c r="Z108" s="113" t="str">
        <f>IFERROR(INDEX(#REF!,X108),"")</f>
        <v/>
      </c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CZ108" s="22"/>
      <c r="DA108" s="22"/>
      <c r="DB108" s="22"/>
      <c r="DC108" s="22"/>
      <c r="DD108" s="22"/>
      <c r="DE108" s="22"/>
      <c r="DF108" s="22"/>
      <c r="DG108" s="22"/>
      <c r="DH108" s="22"/>
    </row>
    <row r="109" spans="2:112" s="21" customFormat="1" ht="11.25" customHeight="1" outlineLevel="1" x14ac:dyDescent="0.35">
      <c r="B109" s="83" t="e">
        <f ca="1">IF(IFERROR(MATCH("*Other*",OFFSET(Budget!#REF!,B108,0,ROWS(#REF!),1),0)+B108,999)&lt;ROWS(#REF!),IFERROR(MATCH("*Other*",OFFSET(Budget!#REF!,B108,0,ROWS(#REF!),1),0)+B108,999),"")</f>
        <v>#REF!</v>
      </c>
      <c r="C109" s="70" t="str">
        <f ca="1">IFERROR(INDEX(#REF!,B109),"")</f>
        <v/>
      </c>
      <c r="E109" s="83" t="e">
        <f ca="1">IF(MIN(IFERROR(MATCH("*PostDoc*",OFFSET(Budget!#REF!,E108,0,ROWS(#REF!),1),0)+E108,999),IFERROR(MATCH("*PhD*",OFFSET(Budget!#REF!,E108,0,ROWS(#REF!),1),0)+E108,999),IFERROR(MATCH("*PDEng*",OFFSET(Budget!#REF!,E108,0,ROWS(#REF!),1),0)+E108,999))&lt;ROWS(#REF!),MIN(IFERROR(MATCH("*PostDoc*",OFFSET(Budget!#REF!,E108,0,ROWS(#REF!),1),0)+E108,999),IFERROR(MATCH("*PhD*",OFFSET(Budget!#REF!,E108,0,ROWS(#REF!),1),0)+E108,999),IFERROR(MATCH("*PDEng*",OFFSET(Budget!#REF!,E108,0,ROWS(#REF!),1),0)+E108,999)),"")</f>
        <v>#REF!</v>
      </c>
      <c r="F109" s="74" t="str">
        <f ca="1">IFERROR(INDEX(#REF!,E109)*INDEX(#REF!,E109)/12,"")</f>
        <v/>
      </c>
      <c r="G109" s="90"/>
      <c r="H109" s="83" t="e">
        <f ca="1">IF(IFERROR(MATCH("*researcher*",OFFSET(Budget!#REF!,H108,0,ROWS(#REF!),1),0)+H108,999)&lt;ROWS(#REF!),IFERROR(MATCH("*researcher*",OFFSET(Budget!#REF!,H108,0,ROWS(#REF!),1),0)+H108,999),"")</f>
        <v>#REF!</v>
      </c>
      <c r="I109" s="74" t="str">
        <f ca="1">IF(ISERROR(IF(AND(INDEX(#REF!,H109)&gt;=pers_oi_min_months,INDEX(#REF!,H109)/INDEX(#REF!,H109)*12/pers_other_nrhours_year&gt;=pers_oi_minFTE)=TRUE,INDEX(#REF!,H109)/12,0)),"",IF(AND(INDEX(#REF!,H109)&gt;=pers_oi_min_months,INDEX(#REF!,H109)/INDEX(#REF!,H109)*12/pers_other_nrhours_year&gt;=pers_oi_minFTE)=TRUE,INDEX(#REF!,H109)/12,""))</f>
        <v/>
      </c>
      <c r="J109" s="90"/>
      <c r="K109" s="83" t="e">
        <f ca="1">IF(IFERROR(MATCH("*Non-scientific*",OFFSET(Budget!#REF!,K108,0,ROWS(#REF!),1),0)+K108,999)&lt;ROWS(#REF!),IFERROR(MATCH("*Non-scientific*",OFFSET(Budget!#REF!,K108,0,ROWS(#REF!),1),0)+K108,999),"")</f>
        <v>#REF!</v>
      </c>
      <c r="L109" s="70" t="str">
        <f ca="1">IFERROR(INDEX(#REF!,K109),"")</f>
        <v/>
      </c>
      <c r="M109" s="113"/>
      <c r="N109" s="83" t="e">
        <f ca="1">IF(IFERROR(MATCH("*leave*",OFFSET(Budget!#REF!,N108,0,ROWS(#REF!),1),0)+N108,999)&lt;ROWS(#REF!),IFERROR(MATCH("*leave*",OFFSET(Budget!#REF!,N108,0,ROWS(#REF!),1),0)+N108,999),"")</f>
        <v>#REF!</v>
      </c>
      <c r="O109" s="88" t="str">
        <f ca="1">IFERROR(INDEX(#REF!,N109)*INDEX(#REF!,N109),"")</f>
        <v/>
      </c>
      <c r="P109" s="113"/>
      <c r="Q109" s="83" t="e">
        <f ca="1">IF(MIN(IFERROR(MATCH("*PostDoc*",OFFSET(Budget!#REF!,Q108,0,ROWS(#REF!)-Q108,1),0)+Q108,999),IFERROR(MATCH("*PhD*",OFFSET(Budget!#REF!,Q108,0,ROWS(#REF!)-Q108,1),0)+Q108,999),IFERROR(MATCH("*PDEng*",OFFSET(Budget!#REF!,Q108,0,ROWS(#REF!)-Q108,1),0)+Q108,999),IFERROR(MATCH("*Doctorate*",OFFSET(Budget!#REF!,Q108,0,ROWS(#REF!)-Q108,1),0)+Q108,999))&lt;ROWS(#REF!),MIN(IFERROR(MATCH("*PostDoc*",OFFSET(Budget!#REF!,Q108,0,ROWS(#REF!)-Q108,1),0)+Q108,999),IFERROR(MATCH("*PhD*",OFFSET(Budget!#REF!,Q108,0,ROWS(#REF!)-Q108,1),0)+Q108,999),IFERROR(MATCH("*PDEng*",OFFSET(Budget!#REF!,Q108,0,ROWS(#REF!)-Q108,1),0)+Q108,999),IFERROR(MATCH("*Doctorate*",OFFSET(Budget!#REF!,Q108,0,ROWS(#REF!)-Q108,1),0)+Q108,999)),"")</f>
        <v>#REF!</v>
      </c>
      <c r="R109" s="113" t="str">
        <f ca="1">IFERROR(INDEX(#REF!,Q109),"")</f>
        <v/>
      </c>
      <c r="S109" s="113" t="str">
        <f ca="1">IFERROR(INDEX(#REF!,Q109),"")</f>
        <v/>
      </c>
      <c r="T109" s="113" t="str">
        <f ca="1">IFERROR(INDEX(#REF!,Q109),"")</f>
        <v/>
      </c>
      <c r="U109" s="113" t="str">
        <f ca="1">SUBSTITUTE(IFERROR(INDEX(#REF!,Q109),""),0,"")</f>
        <v/>
      </c>
      <c r="V109" s="132" t="str">
        <f ca="1">SUBSTITUTE(IFERROR(INDEX(#REF!,Q109),""),0,"")</f>
        <v/>
      </c>
      <c r="W109" s="113"/>
      <c r="X109" s="133" t="e">
        <f>IF(ROW(E1646)-ROW($E$1548)&lt;ROWS(#REF!),IFERROR(IF(INDEX(list_cofunders[private?],MATCH(Budget!#REF!,list_cofunders[list cofunders],0),1)="yes",Budget!#REF!,""),""),"")</f>
        <v>#REF!</v>
      </c>
      <c r="Y109" s="134" t="e">
        <f>IF(ROW(E1749)-ROW($E$1651)&lt;ROWS(#REF!),IFERROR(IF(INDEX(list_cofunders[private?],MATCH(Budget!#REF!,list_cofunders[list cofunders],0),1)="yes",Budget!#REF!,""),""),"")</f>
        <v>#REF!</v>
      </c>
      <c r="Z109" s="113" t="str">
        <f>IFERROR(INDEX(#REF!,X109),"")</f>
        <v/>
      </c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CZ109" s="22"/>
      <c r="DA109" s="22"/>
      <c r="DB109" s="22"/>
      <c r="DC109" s="22"/>
      <c r="DD109" s="22"/>
      <c r="DE109" s="22"/>
      <c r="DF109" s="22"/>
      <c r="DG109" s="22"/>
      <c r="DH109" s="22"/>
    </row>
    <row r="110" spans="2:112" s="21" customFormat="1" ht="11.25" customHeight="1" outlineLevel="1" thickBot="1" x14ac:dyDescent="0.4">
      <c r="B110" s="84" t="e">
        <f ca="1">IF(IFERROR(MATCH("*Other*",OFFSET(Budget!#REF!,B109,0,ROWS(#REF!),1),0)+B109,999)&lt;ROWS(#REF!),IFERROR(MATCH("*Other*",OFFSET(Budget!#REF!,B109,0,ROWS(#REF!),1),0)+B109,999),"")</f>
        <v>#REF!</v>
      </c>
      <c r="C110" s="71" t="str">
        <f ca="1">IFERROR(INDEX(#REF!,B110),"")</f>
        <v/>
      </c>
      <c r="E110" s="83" t="e">
        <f ca="1">IF(MIN(IFERROR(MATCH("*PostDoc*",OFFSET(Budget!#REF!,E109,0,ROWS(#REF!),1),0)+E109,999),IFERROR(MATCH("*PhD*",OFFSET(Budget!#REF!,E109,0,ROWS(#REF!),1),0)+E109,999),IFERROR(MATCH("*PDEng*",OFFSET(Budget!#REF!,E109,0,ROWS(#REF!),1),0)+E109,999))&lt;ROWS(#REF!),MIN(IFERROR(MATCH("*PostDoc*",OFFSET(Budget!#REF!,E109,0,ROWS(#REF!),1),0)+E109,999),IFERROR(MATCH("*PhD*",OFFSET(Budget!#REF!,E109,0,ROWS(#REF!),1),0)+E109,999),IFERROR(MATCH("*PDEng*",OFFSET(Budget!#REF!,E109,0,ROWS(#REF!),1),0)+E109,999)),"")</f>
        <v>#REF!</v>
      </c>
      <c r="F110" s="75" t="str">
        <f ca="1">IFERROR(INDEX(#REF!,E110)*INDEX(#REF!,E110)/12,"")</f>
        <v/>
      </c>
      <c r="G110" s="90"/>
      <c r="H110" s="84" t="e">
        <f ca="1">IF(IFERROR(MATCH("*researcher*",OFFSET(Budget!#REF!,H109,0,ROWS(#REF!),1),0)+H109,999)&lt;ROWS(#REF!),IFERROR(MATCH("*researcher*",OFFSET(Budget!#REF!,H109,0,ROWS(#REF!),1),0)+H109,999),"")</f>
        <v>#REF!</v>
      </c>
      <c r="I110" s="75" t="str">
        <f ca="1">IF(ISERROR(IF(AND(INDEX(#REF!,H110)&gt;=pers_oi_min_months,INDEX(#REF!,H110)/INDEX(#REF!,H110)*12/pers_other_nrhours_year&gt;=pers_oi_minFTE)=TRUE,INDEX(#REF!,H110)/12,0)),"",IF(AND(INDEX(#REF!,H110)&gt;=pers_oi_min_months,INDEX(#REF!,H110)/INDEX(#REF!,H110)*12/pers_other_nrhours_year&gt;=pers_oi_minFTE)=TRUE,INDEX(#REF!,H110)/12,""))</f>
        <v/>
      </c>
      <c r="J110" s="90"/>
      <c r="K110" s="84" t="e">
        <f ca="1">IF(IFERROR(MATCH("*Non-scientific*",OFFSET(Budget!#REF!,K109,0,ROWS(#REF!),1),0)+K109,999)&lt;ROWS(#REF!),IFERROR(MATCH("*Non-scientific*",OFFSET(Budget!#REF!,K109,0,ROWS(#REF!),1),0)+K109,999),"")</f>
        <v>#REF!</v>
      </c>
      <c r="L110" s="71" t="str">
        <f ca="1">IFERROR(INDEX(#REF!,K110),"")</f>
        <v/>
      </c>
      <c r="M110" s="113"/>
      <c r="N110" s="84" t="e">
        <f ca="1">IF(IFERROR(MATCH("*leave*",OFFSET(Budget!#REF!,N109,0,ROWS(#REF!),1),0)+N109,999)&lt;ROWS(#REF!),IFERROR(MATCH("*leave*",OFFSET(Budget!#REF!,N109,0,ROWS(#REF!),1),0)+N109,999),"")</f>
        <v>#REF!</v>
      </c>
      <c r="O110" s="89" t="str">
        <f ca="1">IFERROR(INDEX(#REF!,N110)*INDEX(#REF!,N110),"")</f>
        <v/>
      </c>
      <c r="P110" s="113"/>
      <c r="Q110" s="84" t="e">
        <f ca="1">IF(MIN(IFERROR(MATCH("*PostDoc*",OFFSET(Budget!#REF!,Q109,0,ROWS(#REF!)-Q109,1),0)+Q109,999),IFERROR(MATCH("*PhD*",OFFSET(Budget!#REF!,Q109,0,ROWS(#REF!)-Q109,1),0)+Q109,999),IFERROR(MATCH("*PDEng*",OFFSET(Budget!#REF!,Q109,0,ROWS(#REF!)-Q109,1),0)+Q109,999),IFERROR(MATCH("*Doctorate*",OFFSET(Budget!#REF!,Q109,0,ROWS(#REF!)-Q109,1),0)+Q109,999))&lt;ROWS(#REF!),MIN(IFERROR(MATCH("*PostDoc*",OFFSET(Budget!#REF!,Q109,0,ROWS(#REF!)-Q109,1),0)+Q109,999),IFERROR(MATCH("*PhD*",OFFSET(Budget!#REF!,Q109,0,ROWS(#REF!)-Q109,1),0)+Q109,999),IFERROR(MATCH("*PDEng*",OFFSET(Budget!#REF!,Q109,0,ROWS(#REF!)-Q109,1),0)+Q109,999),IFERROR(MATCH("*Doctorate*",OFFSET(Budget!#REF!,Q109,0,ROWS(#REF!)-Q109,1),0)+Q109,999)),"")</f>
        <v>#REF!</v>
      </c>
      <c r="R110" s="135" t="str">
        <f ca="1">IFERROR(INDEX(#REF!,Q110),"")</f>
        <v/>
      </c>
      <c r="S110" s="135" t="str">
        <f ca="1">IFERROR(INDEX(#REF!,Q110),"")</f>
        <v/>
      </c>
      <c r="T110" s="135" t="str">
        <f ca="1">IFERROR(INDEX(#REF!,Q110),"")</f>
        <v/>
      </c>
      <c r="U110" s="135" t="str">
        <f ca="1">SUBSTITUTE(IFERROR(INDEX(#REF!,Q110),""),0,"")</f>
        <v/>
      </c>
      <c r="V110" s="132" t="str">
        <f ca="1">SUBSTITUTE(IFERROR(INDEX(#REF!,Q110),""),0,"")</f>
        <v/>
      </c>
      <c r="W110" s="113"/>
      <c r="X110" s="136" t="e">
        <f>IF(ROW(E1647)-ROW($E$1548)&lt;ROWS(#REF!),IFERROR(IF(INDEX(list_cofunders[private?],MATCH(Budget!#REF!,list_cofunders[list cofunders],0),1)="yes",Budget!#REF!,""),""),"")</f>
        <v>#REF!</v>
      </c>
      <c r="Y110" s="137" t="e">
        <f>IF(ROW(E1750)-ROW($E$1651)&lt;ROWS(#REF!),IFERROR(IF(INDEX(list_cofunders[private?],MATCH(Budget!#REF!,list_cofunders[list cofunders],0),1)="yes",Budget!#REF!,""),""),"")</f>
        <v>#REF!</v>
      </c>
      <c r="Z110" s="113" t="str">
        <f>IFERROR(INDEX(#REF!,X110),"")</f>
        <v/>
      </c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CZ110" s="22"/>
      <c r="DA110" s="22"/>
      <c r="DB110" s="22"/>
      <c r="DC110" s="22"/>
      <c r="DD110" s="22"/>
      <c r="DE110" s="22"/>
      <c r="DF110" s="22"/>
      <c r="DG110" s="22"/>
      <c r="DH110" s="22"/>
    </row>
    <row r="111" spans="2:112" s="21" customFormat="1" ht="11.25" customHeight="1" collapsed="1" x14ac:dyDescent="0.35">
      <c r="B111" s="23"/>
      <c r="K111" s="2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CZ111" s="22"/>
      <c r="DA111" s="22"/>
      <c r="DB111" s="22"/>
      <c r="DC111" s="22"/>
      <c r="DD111" s="22"/>
      <c r="DE111" s="22"/>
      <c r="DF111" s="22"/>
      <c r="DG111" s="22"/>
      <c r="DH111" s="22"/>
    </row>
    <row r="112" spans="2:112" s="21" customFormat="1" ht="11.25" customHeight="1" x14ac:dyDescent="0.35">
      <c r="B112" s="72" t="s">
        <v>194</v>
      </c>
      <c r="C112" s="86">
        <f ca="1">SUM(C11:C110)</f>
        <v>0</v>
      </c>
      <c r="E112" s="72" t="s">
        <v>194</v>
      </c>
      <c r="F112" s="85">
        <f ca="1">SUM(F11:F110)</f>
        <v>0</v>
      </c>
      <c r="G112" s="85"/>
      <c r="H112" s="85" t="s">
        <v>194</v>
      </c>
      <c r="I112" s="85">
        <f ca="1">SUM(I11:I110)</f>
        <v>0</v>
      </c>
      <c r="J112" s="85"/>
      <c r="K112" s="72" t="s">
        <v>194</v>
      </c>
      <c r="L112" s="86">
        <f ca="1">SUM(L11:L110)</f>
        <v>0</v>
      </c>
      <c r="M112" s="113"/>
      <c r="N112" s="117" t="s">
        <v>194</v>
      </c>
      <c r="O112" s="138">
        <f ca="1">SUM(O11:O110)</f>
        <v>0</v>
      </c>
      <c r="P112" s="113"/>
      <c r="Q112" s="113"/>
      <c r="R112" s="113"/>
      <c r="S112" s="113"/>
      <c r="T112" s="113"/>
      <c r="U112" s="113"/>
      <c r="V112" s="113"/>
      <c r="W112" s="139" t="s">
        <v>200</v>
      </c>
      <c r="X112" s="140" t="e">
        <f>SUM(X11:X110)</f>
        <v>#REF!</v>
      </c>
      <c r="Y112" s="140" t="e">
        <f>SUM(Y11:Y110)</f>
        <v>#REF!</v>
      </c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CZ112" s="22"/>
      <c r="DA112" s="22"/>
      <c r="DB112" s="22"/>
      <c r="DC112" s="22"/>
      <c r="DD112" s="22"/>
      <c r="DE112" s="22"/>
      <c r="DF112" s="22"/>
      <c r="DG112" s="22"/>
      <c r="DH112" s="22"/>
    </row>
    <row r="113" spans="1:111" s="21" customFormat="1" ht="11.25" customHeight="1" x14ac:dyDescent="0.35">
      <c r="A113" s="5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39" t="s">
        <v>630</v>
      </c>
      <c r="X113" s="140" t="e">
        <f>X112+Y112</f>
        <v>#REF!</v>
      </c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CY113" s="22"/>
      <c r="CZ113" s="22"/>
      <c r="DA113" s="22"/>
      <c r="DB113" s="22"/>
      <c r="DC113" s="22"/>
      <c r="DD113" s="22"/>
      <c r="DE113" s="22"/>
      <c r="DF113" s="22"/>
      <c r="DG113" s="22"/>
    </row>
    <row r="114" spans="1:111" s="21" customFormat="1" ht="11.25" customHeight="1" x14ac:dyDescent="0.35">
      <c r="A114" s="5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CY114" s="22"/>
      <c r="CZ114" s="22"/>
      <c r="DA114" s="22"/>
      <c r="DB114" s="22"/>
      <c r="DC114" s="22"/>
      <c r="DD114" s="22"/>
      <c r="DE114" s="22"/>
      <c r="DF114" s="22"/>
      <c r="DG114" s="22"/>
    </row>
    <row r="115" spans="1:111" s="21" customFormat="1" ht="11.25" customHeight="1" x14ac:dyDescent="0.35">
      <c r="A115" s="5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CY115" s="22"/>
      <c r="CZ115" s="22"/>
      <c r="DA115" s="22"/>
      <c r="DB115" s="22"/>
      <c r="DC115" s="22"/>
      <c r="DD115" s="22"/>
      <c r="DE115" s="22"/>
      <c r="DF115" s="22"/>
      <c r="DG115" s="22"/>
    </row>
    <row r="116" spans="1:111" s="21" customFormat="1" ht="15" customHeight="1" x14ac:dyDescent="0.35">
      <c r="A116" s="53" t="s">
        <v>611</v>
      </c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CY116" s="22"/>
      <c r="CZ116" s="22"/>
      <c r="DA116" s="22"/>
      <c r="DB116" s="22"/>
      <c r="DC116" s="22"/>
      <c r="DD116" s="22"/>
      <c r="DE116" s="22"/>
      <c r="DF116" s="22"/>
      <c r="DG116" s="22"/>
    </row>
    <row r="117" spans="1:111" outlineLevel="1" x14ac:dyDescent="0.35">
      <c r="A117" s="117" t="s">
        <v>558</v>
      </c>
      <c r="B117" s="117" t="s">
        <v>559</v>
      </c>
      <c r="C117" s="117" t="s">
        <v>716</v>
      </c>
    </row>
    <row r="118" spans="1:111" outlineLevel="1" x14ac:dyDescent="0.35">
      <c r="A118" s="141" t="s">
        <v>773</v>
      </c>
      <c r="B118" s="141" t="s">
        <v>774</v>
      </c>
      <c r="C118" s="253"/>
    </row>
    <row r="119" spans="1:111" outlineLevel="1" x14ac:dyDescent="0.35">
      <c r="A119" s="141" t="s">
        <v>772</v>
      </c>
      <c r="B119" s="141" t="s">
        <v>775</v>
      </c>
      <c r="C119" s="253"/>
    </row>
    <row r="120" spans="1:111" outlineLevel="1" x14ac:dyDescent="0.35">
      <c r="A120" s="141" t="s">
        <v>612</v>
      </c>
      <c r="B120" s="141" t="s">
        <v>613</v>
      </c>
      <c r="C120" s="141"/>
    </row>
    <row r="121" spans="1:111" outlineLevel="1" x14ac:dyDescent="0.35">
      <c r="A121" s="141" t="s">
        <v>776</v>
      </c>
      <c r="B121" s="141" t="s">
        <v>783</v>
      </c>
      <c r="C121" s="141"/>
    </row>
    <row r="122" spans="1:111" outlineLevel="1" x14ac:dyDescent="0.35">
      <c r="A122" s="141" t="s">
        <v>777</v>
      </c>
      <c r="B122" s="141" t="s">
        <v>784</v>
      </c>
      <c r="C122" s="141"/>
    </row>
    <row r="123" spans="1:111" outlineLevel="1" x14ac:dyDescent="0.35">
      <c r="A123" s="141" t="s">
        <v>614</v>
      </c>
      <c r="B123" s="141" t="s">
        <v>615</v>
      </c>
      <c r="C123" s="141"/>
    </row>
    <row r="124" spans="1:111" ht="39" customHeight="1" outlineLevel="1" x14ac:dyDescent="0.35">
      <c r="A124" s="141" t="s">
        <v>624</v>
      </c>
      <c r="B124" s="141" t="str">
        <f>"The envisioned project duration exceeds the limit of "&amp;Max_project_duration&amp; " months."</f>
        <v>The envisioned project duration exceeds the limit of 12 months.</v>
      </c>
      <c r="C124" s="141"/>
    </row>
    <row r="125" spans="1:111" ht="29" outlineLevel="1" x14ac:dyDescent="0.35">
      <c r="A125" s="141" t="s">
        <v>623</v>
      </c>
      <c r="B125" s="141" t="str">
        <f>"Total NWO funding is less than the minimum required "&amp;TEXT(Min_NWO_funding,"€ #.#") &amp; "."</f>
        <v>Total NWO funding is less than the minimum required € .</v>
      </c>
      <c r="C125" s="141"/>
    </row>
    <row r="126" spans="1:111" ht="36.75" customHeight="1" outlineLevel="1" x14ac:dyDescent="0.35">
      <c r="A126" s="141" t="s">
        <v>621</v>
      </c>
      <c r="B126" s="141" t="str">
        <f>"Total NWO funding may not exceed "&amp;TEXT(Max_NWO_funding,"€ #.#") &amp; "."</f>
        <v>Total NWO funding may not exceed € 30.000.</v>
      </c>
      <c r="C126" s="141"/>
    </row>
    <row r="127" spans="1:111" ht="36.75" customHeight="1" outlineLevel="1" x14ac:dyDescent="0.35">
      <c r="A127" s="141" t="s">
        <v>786</v>
      </c>
      <c r="B127" s="141" t="str">
        <f>IF(empty_lines="no","Please do not leave empty lines in between budget posts.","")</f>
        <v/>
      </c>
      <c r="C127" s="141"/>
    </row>
    <row r="128" spans="1:111" ht="29" outlineLevel="1" x14ac:dyDescent="0.35">
      <c r="A128" s="141" t="s">
        <v>560</v>
      </c>
      <c r="B128" s="141" t="s">
        <v>561</v>
      </c>
      <c r="C128" s="141"/>
    </row>
    <row r="129" spans="1:3" ht="29" outlineLevel="1" x14ac:dyDescent="0.35">
      <c r="A129" s="141" t="s">
        <v>813</v>
      </c>
      <c r="B129" s="141" t="str">
        <f>"(Equivalent) PhD duration less than minimal "&amp;TEXT(pers_PhD_min_months,"#")&amp;" fulltime months."</f>
        <v>(Equivalent) PhD duration less than minimal 48 fulltime months.</v>
      </c>
      <c r="C129" s="141"/>
    </row>
    <row r="130" spans="1:3" ht="29" outlineLevel="1" x14ac:dyDescent="0.35">
      <c r="A130" s="141" t="s">
        <v>814</v>
      </c>
      <c r="B130" s="141" t="str">
        <f>"(Equivalent) PhD duration more than maximum "&amp;TEXT(pers_PhD_max_months,"#")&amp;" fulltime months."</f>
        <v>(Equivalent) PhD duration more than maximum 48 fulltime months.</v>
      </c>
      <c r="C130" s="141"/>
    </row>
    <row r="131" spans="1:3" ht="29" outlineLevel="1" x14ac:dyDescent="0.35">
      <c r="A131" s="141" t="s">
        <v>564</v>
      </c>
      <c r="B131" s="141" t="str">
        <f>"3-years PhD duration less than minimal "&amp;TEXT(pers_3yPhD_min_months,"#")&amp;" fulltime months."</f>
        <v>3-years PhD duration less than minimal 36 fulltime months.</v>
      </c>
      <c r="C131" s="141"/>
    </row>
    <row r="132" spans="1:3" ht="43.5" outlineLevel="1" x14ac:dyDescent="0.35">
      <c r="A132" s="141" t="s">
        <v>681</v>
      </c>
      <c r="B132" s="141" t="s">
        <v>567</v>
      </c>
      <c r="C132" s="141"/>
    </row>
    <row r="133" spans="1:3" ht="29" outlineLevel="1" x14ac:dyDescent="0.35">
      <c r="A133" s="141" t="s">
        <v>682</v>
      </c>
      <c r="B133" s="141" t="str">
        <f>"PDEng duration exceeds maximum of equivalent of "&amp;TEXT(pers_PDEng_max_months,"#")&amp;" fulltime months."</f>
        <v>PDEng duration exceeds maximum of equivalent of 24 fulltime months.</v>
      </c>
      <c r="C133" s="141"/>
    </row>
    <row r="134" spans="1:3" ht="29" outlineLevel="1" x14ac:dyDescent="0.35">
      <c r="A134" s="141" t="s">
        <v>683</v>
      </c>
      <c r="B134" s="141" t="str">
        <f>"PD duration less than minimal equivalent of "&amp;TEXT(pers_PD_min_months,"#")&amp;" fulltime months."</f>
        <v>PD duration less than minimal equivalent of 6 fulltime months.</v>
      </c>
      <c r="C134" s="141"/>
    </row>
    <row r="135" spans="1:3" ht="29" outlineLevel="1" x14ac:dyDescent="0.35">
      <c r="A135" s="141" t="s">
        <v>684</v>
      </c>
      <c r="B135" s="141" t="str">
        <f>"PD duration exceeds maximal equivalent of "&amp;TEXT(pers_PD_max_months,"#")&amp;" fulltime months."</f>
        <v>PD duration exceeds maximal equivalent of 48 fulltime months.</v>
      </c>
      <c r="C135" s="141"/>
    </row>
    <row r="136" spans="1:3" ht="43.5" outlineLevel="1" x14ac:dyDescent="0.35">
      <c r="A136" s="141" t="s">
        <v>685</v>
      </c>
      <c r="B136" s="141" t="s">
        <v>634</v>
      </c>
      <c r="C136" s="141"/>
    </row>
    <row r="137" spans="1:3" ht="43.5" outlineLevel="1" x14ac:dyDescent="0.35">
      <c r="A137" s="141" t="s">
        <v>686</v>
      </c>
      <c r="B137" s="141" t="str">
        <f>"Total requested amount for Non-Scientific Personnel exceeds limit of "&amp; TEXT(pers_max_NSP,"€ #.#") &amp; "."</f>
        <v>Total requested amount for Non-Scientific Personnel exceeds limit of € 100.000.</v>
      </c>
      <c r="C137" s="141"/>
    </row>
    <row r="138" spans="1:3" ht="29" outlineLevel="1" x14ac:dyDescent="0.35">
      <c r="A138" s="141" t="s">
        <v>693</v>
      </c>
      <c r="B138" s="141" t="str">
        <f>"NSP duration less than minimum (equivalent) of " &amp; pers_NSP_min_months &amp;" fulltime months."</f>
        <v>NSP duration less than minimum (equivalent) of 6 fulltime months.</v>
      </c>
      <c r="C138" s="141"/>
    </row>
    <row r="139" spans="1:3" ht="29" outlineLevel="1" x14ac:dyDescent="0.35">
      <c r="A139" s="141" t="s">
        <v>694</v>
      </c>
      <c r="B139" s="141" t="str">
        <f>"NSP duration exceeds maximum (equivalent) of " &amp; pers_NSP_max_months &amp; " fulltime months."</f>
        <v>NSP duration exceeds maximum (equivalent) of 48 fulltime months.</v>
      </c>
      <c r="C139" s="141"/>
    </row>
    <row r="140" spans="1:3" ht="43.5" outlineLevel="1" x14ac:dyDescent="0.35">
      <c r="A140" s="141" t="s">
        <v>577</v>
      </c>
      <c r="B140" s="141" t="s">
        <v>578</v>
      </c>
      <c r="C140" s="141"/>
    </row>
    <row r="141" spans="1:3" ht="43.5" outlineLevel="1" x14ac:dyDescent="0.35">
      <c r="A141" s="141" t="s">
        <v>688</v>
      </c>
      <c r="B141" s="141" t="str">
        <f>"The requested amount for Other Scientific Personnel exceeds the limit of "&amp;TEXT(pers_max_OSP,"€ #.#") &amp;"."</f>
        <v>The requested amount for Other Scientific Personnel exceeds the limit of € 100.000.</v>
      </c>
      <c r="C141" s="141"/>
    </row>
    <row r="142" spans="1:3" ht="29" outlineLevel="1" x14ac:dyDescent="0.35">
      <c r="A142" s="141" t="s">
        <v>689</v>
      </c>
      <c r="B142" s="141" t="str">
        <f>"OSP duration less than minimum (equivalent) of " &amp; pers_OSP_min_months &amp;" fulltime months."</f>
        <v>OSP duration less than minimum (equivalent) of 6 fulltime months.</v>
      </c>
      <c r="C142" s="141"/>
    </row>
    <row r="143" spans="1:3" ht="29" outlineLevel="1" x14ac:dyDescent="0.35">
      <c r="A143" s="141" t="s">
        <v>690</v>
      </c>
      <c r="B143" s="141" t="str">
        <f>"OSP duration exceeds maximum (equivalent) of " &amp; pers_OSP_max_months &amp; " fulltime months."</f>
        <v>OSP duration exceeds maximum (equivalent) of 48 fulltime months.</v>
      </c>
      <c r="C143" s="141"/>
    </row>
    <row r="144" spans="1:3" ht="43.5" outlineLevel="1" x14ac:dyDescent="0.35">
      <c r="A144" s="141" t="s">
        <v>692</v>
      </c>
      <c r="B144" s="141" t="str">
        <f>"Total requested amount for Research Leave exceeds limit of "&amp; TEXT(pers_leave_maxperc,"#%") &amp; " of the requested NWO budget."</f>
        <v>Total requested amount for Research Leave exceeds limit of 100% of the requested NWO budget.</v>
      </c>
      <c r="C144" s="141"/>
    </row>
    <row r="145" spans="1:3" ht="43.5" outlineLevel="1" x14ac:dyDescent="0.35">
      <c r="A145" s="141" t="s">
        <v>691</v>
      </c>
      <c r="B145" s="141" t="str">
        <f>"The total duration of Research Leave exceeds the maximal equivalent of " &amp; TEXT(pers_leave_maxduration,"#") &amp;" fulltime months."</f>
        <v>The total duration of Research Leave exceeds the maximal equivalent of 5 fulltime months.</v>
      </c>
      <c r="C145" s="141"/>
    </row>
    <row r="146" spans="1:3" outlineLevel="1" x14ac:dyDescent="0.35">
      <c r="A146" s="141" t="s">
        <v>668</v>
      </c>
      <c r="B146" s="141" t="str">
        <f>IF(organisation_type="yes","Organisation type not specified.","")</f>
        <v>Organisation type not specified.</v>
      </c>
      <c r="C146" s="141"/>
    </row>
    <row r="147" spans="1:3" outlineLevel="1" x14ac:dyDescent="0.35">
      <c r="A147" s="141" t="s">
        <v>765</v>
      </c>
      <c r="B147" s="141" t="str">
        <f>IF(organisation_name="yes","Name organisation not specified.","")</f>
        <v>Name organisation not specified.</v>
      </c>
      <c r="C147" s="141"/>
    </row>
    <row r="148" spans="1:3" outlineLevel="1" x14ac:dyDescent="0.35">
      <c r="A148" s="141" t="s">
        <v>762</v>
      </c>
      <c r="B148" s="141" t="s">
        <v>763</v>
      </c>
      <c r="C148" s="141"/>
    </row>
    <row r="149" spans="1:3" ht="29" outlineLevel="1" x14ac:dyDescent="0.35">
      <c r="A149" s="141" t="s">
        <v>706</v>
      </c>
      <c r="B149" s="141" t="s">
        <v>707</v>
      </c>
      <c r="C149" s="141"/>
    </row>
    <row r="150" spans="1:3" ht="29" outlineLevel="1" x14ac:dyDescent="0.35">
      <c r="A150" s="141" t="s">
        <v>586</v>
      </c>
      <c r="B150" s="141"/>
      <c r="C150" s="141" t="s">
        <v>757</v>
      </c>
    </row>
    <row r="151" spans="1:3" ht="29" outlineLevel="1" x14ac:dyDescent="0.35">
      <c r="A151" s="141" t="s">
        <v>594</v>
      </c>
      <c r="B151" s="141" t="s">
        <v>595</v>
      </c>
      <c r="C151" s="141"/>
    </row>
    <row r="152" spans="1:3" outlineLevel="1" x14ac:dyDescent="0.35">
      <c r="A152" s="141" t="s">
        <v>678</v>
      </c>
      <c r="B152" s="141" t="s">
        <v>679</v>
      </c>
      <c r="C152" s="141"/>
    </row>
    <row r="153" spans="1:3" ht="43.5" outlineLevel="1" x14ac:dyDescent="0.35">
      <c r="A153" s="141" t="s">
        <v>680</v>
      </c>
      <c r="B153" s="141" t="str">
        <f>"Hourly rate exceeds maximum of &lt;&lt;max_hourly_rate&gt;&gt;, see section " &amp;  CfP_tariffs_other_inst &amp; " of the CfP."</f>
        <v>Hourly rate exceeds maximum of &lt;&lt;max_hourly_rate&gt;&gt;, see section 3.2.1 of the CfP.</v>
      </c>
      <c r="C153" s="141"/>
    </row>
    <row r="154" spans="1:3" outlineLevel="1" x14ac:dyDescent="0.35">
      <c r="A154" s="141" t="s">
        <v>723</v>
      </c>
      <c r="B154" s="141" t="s">
        <v>724</v>
      </c>
      <c r="C154" s="141"/>
    </row>
    <row r="155" spans="1:3" outlineLevel="1" x14ac:dyDescent="0.35">
      <c r="A155" s="141" t="s">
        <v>770</v>
      </c>
      <c r="B155" s="141" t="s">
        <v>769</v>
      </c>
      <c r="C155" s="141"/>
    </row>
    <row r="156" spans="1:3" outlineLevel="1" x14ac:dyDescent="0.35">
      <c r="A156" s="141" t="s">
        <v>758</v>
      </c>
      <c r="B156" s="141" t="str">
        <f>"Exceeding 1 FTE (&gt;"&amp;TEXT(pers_other_nrhours_year,"#") &amp;" hrs/year)."</f>
        <v>Exceeding 1 FTE (&gt;1354 hrs/year).</v>
      </c>
      <c r="C156" s="141"/>
    </row>
    <row r="157" spans="1:3" ht="32.25" customHeight="1" outlineLevel="1" x14ac:dyDescent="0.35">
      <c r="A157" s="141" t="s">
        <v>709</v>
      </c>
      <c r="B157" s="141"/>
      <c r="C157" s="141"/>
    </row>
    <row r="158" spans="1:3" ht="32.25" customHeight="1" outlineLevel="1" x14ac:dyDescent="0.35">
      <c r="A158" s="141" t="s">
        <v>712</v>
      </c>
      <c r="B158" s="141" t="str">
        <f>"Minimum budget for cleanroom costs is "&amp;TEXT(mat_cleanroom_minamount,"€ #.#0")&amp;"."</f>
        <v>Minimum budget for cleanroom costs is € 40.000.</v>
      </c>
      <c r="C158" s="141"/>
    </row>
    <row r="159" spans="1:3" ht="32.25" customHeight="1" outlineLevel="1" x14ac:dyDescent="0.35">
      <c r="A159" s="141" t="s">
        <v>713</v>
      </c>
      <c r="B159" s="141" t="str">
        <f>"A maximum of "&amp;TEXT(mat_cleanroom_maxamount,"€ #.#0")&amp;" can be requested for cleanroom costs."</f>
        <v>A maximum of € 150.000 can be requested for cleanroom costs.</v>
      </c>
      <c r="C159" s="141"/>
    </row>
    <row r="160" spans="1:3" ht="29" outlineLevel="1" x14ac:dyDescent="0.35">
      <c r="A160" s="141" t="s">
        <v>714</v>
      </c>
      <c r="B160" s="141" t="str">
        <f>IF(inv_own_contribution="yes","At least "&amp;TEXT(inv_min_perc_own_contr,"#%")&amp;" of the investment should be covered by the host institute.","")</f>
        <v/>
      </c>
      <c r="C160" s="141" t="str">
        <f>IF(inv_own_contribution="no","Not applicable","")</f>
        <v>Not applicable</v>
      </c>
    </row>
    <row r="161" spans="1:3" ht="30" customHeight="1" outlineLevel="1" x14ac:dyDescent="0.35">
      <c r="A161" s="141" t="s">
        <v>715</v>
      </c>
      <c r="B161" s="141" t="str">
        <f>IF(inv_min_total_amount&gt;0,"Total requested amount of investments should be at least "&amp;TEXT(inv_min_total_amount,"€ #.#0")&amp;".","")</f>
        <v/>
      </c>
      <c r="C161" s="141" t="str">
        <f>IF(inv_min_total_amount=0,"Not applicable","")</f>
        <v>Not applicable</v>
      </c>
    </row>
    <row r="162" spans="1:3" ht="30" customHeight="1" outlineLevel="1" x14ac:dyDescent="0.35">
      <c r="A162" s="141" t="s">
        <v>766</v>
      </c>
      <c r="B162" s="141" t="str">
        <f>"Total requested amount exceeds "&amp;TEXT(threshold_own_contribution,"€ #.#0")&amp;"."</f>
        <v>Total requested amount exceeds € 150.000.</v>
      </c>
      <c r="C162" s="141"/>
    </row>
    <row r="163" spans="1:3" ht="31.5" customHeight="1" outlineLevel="1" x14ac:dyDescent="0.35">
      <c r="A163" s="141" t="s">
        <v>767</v>
      </c>
      <c r="B163" s="141" t="str">
        <f>"Total requested amount of investments may not exceed "&amp;TEXT(inv_max_total_amount,"€ #.#0")&amp;"."</f>
        <v>Total requested amount of investments may not exceed € 500.000.</v>
      </c>
      <c r="C163" s="141"/>
    </row>
    <row r="164" spans="1:3" ht="31.5" customHeight="1" outlineLevel="1" x14ac:dyDescent="0.35">
      <c r="A164" s="141" t="s">
        <v>726</v>
      </c>
      <c r="B164" s="141" t="str">
        <f>"Total amount of KU should be at least "&amp;TEXT(KU_minperc,"#%")&amp;" of the amount requested from NWO."</f>
        <v>Total amount of KU should be at least 5% of the amount requested from NWO.</v>
      </c>
      <c r="C164" s="141"/>
    </row>
    <row r="165" spans="1:3" ht="31.5" customHeight="1" outlineLevel="1" x14ac:dyDescent="0.35">
      <c r="A165" s="141" t="s">
        <v>754</v>
      </c>
      <c r="B165" s="141" t="str">
        <f>"Total amount of KU exceeds limit of "&amp;TEXT(KU_maxperc,"#%")&amp;" of the amount requested from NWO."</f>
        <v>Total amount of KU exceeds limit of 6% of the amount requested from NWO.</v>
      </c>
      <c r="C165" s="141"/>
    </row>
    <row r="166" spans="1:3" ht="31.5" customHeight="1" outlineLevel="1" x14ac:dyDescent="0.35">
      <c r="A166" s="141" t="s">
        <v>755</v>
      </c>
      <c r="B166" s="141" t="str">
        <f>"Total amount of KU exceeds limit of " &amp; TEXT(KU_max_amount,"€ #.#0") &amp; "."</f>
        <v>Total amount of KU exceeds limit of € 30.000.</v>
      </c>
      <c r="C166" s="141"/>
    </row>
    <row r="167" spans="1:3" ht="43.5" outlineLevel="1" x14ac:dyDescent="0.35">
      <c r="A167" s="141" t="s">
        <v>596</v>
      </c>
      <c r="B167" s="141" t="str">
        <f>"Total amount of KU and entrepeneurship should be at least "&amp;TEXT(KU_entrepeneurship_minperc,"#%")&amp;" of the amount requested from NWO."</f>
        <v>Total amount of KU and entrepeneurship should be at least % of the amount requested from NWO.</v>
      </c>
      <c r="C167" s="141"/>
    </row>
    <row r="168" spans="1:3" ht="43.5" outlineLevel="1" x14ac:dyDescent="0.35">
      <c r="A168" s="141" t="s">
        <v>597</v>
      </c>
      <c r="B168" s="141" t="str">
        <f>"Total amount for KU and entrepeneurship exceeds the limit of  "&amp; TEXT(KU_entrepeneurship_max_amount,"€ #.#")&amp;"."</f>
        <v>Total amount for KU and entrepeneurship exceeds the limit of  € 30.000.</v>
      </c>
      <c r="C168" s="141"/>
    </row>
    <row r="169" spans="1:3" ht="29" outlineLevel="1" x14ac:dyDescent="0.35">
      <c r="A169" s="141" t="s">
        <v>637</v>
      </c>
      <c r="B169" s="141" t="str">
        <f>"Total amount for Internationalisation exceeds limit of "&amp;TEXT(Int_maxamount,"€ #.#0")&amp;"."</f>
        <v>Total amount for Internationalisation exceeds limit of € 30.000.</v>
      </c>
      <c r="C169" s="141"/>
    </row>
    <row r="170" spans="1:3" ht="51" customHeight="1" outlineLevel="1" x14ac:dyDescent="0.35">
      <c r="A170" s="141" t="s">
        <v>638</v>
      </c>
      <c r="B170" s="141" t="str">
        <f>"Total amount for Internationalisation exceeds limit of "&amp;TEXT(Int_maxamount_perc,"#%")&amp;" of requested NWO budget."</f>
        <v>Total amount for Internationalisation exceeds limit of 100% of requested NWO budget.</v>
      </c>
      <c r="C170" s="141"/>
    </row>
    <row r="171" spans="1:3" ht="51" customHeight="1" outlineLevel="1" x14ac:dyDescent="0.35">
      <c r="A171" s="141" t="s">
        <v>732</v>
      </c>
      <c r="B171" s="141" t="s">
        <v>733</v>
      </c>
      <c r="C171" s="141"/>
    </row>
    <row r="172" spans="1:3" ht="51" customHeight="1" outlineLevel="1" x14ac:dyDescent="0.35">
      <c r="A172" s="141" t="s">
        <v>728</v>
      </c>
      <c r="B172" s="141" t="s">
        <v>737</v>
      </c>
      <c r="C172" s="141"/>
    </row>
    <row r="173" spans="1:3" ht="51" customHeight="1" outlineLevel="1" x14ac:dyDescent="0.35">
      <c r="A173" s="141" t="s">
        <v>729</v>
      </c>
      <c r="B173" s="141" t="s">
        <v>730</v>
      </c>
      <c r="C173" s="141"/>
    </row>
    <row r="174" spans="1:3" ht="51" customHeight="1" outlineLevel="1" x14ac:dyDescent="0.35">
      <c r="A174" s="141" t="s">
        <v>739</v>
      </c>
      <c r="B174" s="141" t="s">
        <v>707</v>
      </c>
      <c r="C174" s="141"/>
    </row>
    <row r="175" spans="1:3" ht="51" customHeight="1" outlineLevel="1" x14ac:dyDescent="0.35">
      <c r="A175" s="141" t="s">
        <v>740</v>
      </c>
      <c r="B175" s="141" t="s">
        <v>670</v>
      </c>
      <c r="C175" s="141"/>
    </row>
    <row r="176" spans="1:3" ht="51" customHeight="1" outlineLevel="1" x14ac:dyDescent="0.35">
      <c r="A176" s="141" t="s">
        <v>741</v>
      </c>
      <c r="B176" s="141" t="s">
        <v>761</v>
      </c>
      <c r="C176" s="141"/>
    </row>
    <row r="177" spans="1:3" ht="51" customHeight="1" outlineLevel="1" x14ac:dyDescent="0.35">
      <c r="A177" s="141" t="s">
        <v>641</v>
      </c>
      <c r="B177" s="141" t="str">
        <f>"Total amount for MfC exceeds limit of "&amp;TEXT(MfC_maxamount,"€ #.#")&amp;"."</f>
        <v>Total amount for MfC exceeds limit of € 30.000.</v>
      </c>
      <c r="C177" s="141"/>
    </row>
    <row r="178" spans="1:3" ht="43.5" outlineLevel="1" x14ac:dyDescent="0.35">
      <c r="A178" s="141" t="s">
        <v>640</v>
      </c>
      <c r="B178" s="141" t="str">
        <f>"Total amount for MfC exceeds limit of "&amp;TEXT(MfC_maxperc,"#%")&amp;" of the amount requested from NWO."</f>
        <v>Total amount for MfC exceeds limit of 50% of the amount requested from NWO.</v>
      </c>
      <c r="C178" s="141"/>
    </row>
    <row r="179" spans="1:3" ht="43.5" outlineLevel="1" x14ac:dyDescent="0.35">
      <c r="A179" s="141" t="s">
        <v>643</v>
      </c>
      <c r="B179" s="141" t="str">
        <f>"Total amount for Internationalisation and MfC exceeds the limit of  "&amp; TEXT(Int_MfC_maxamount,"€ #.#")&amp;"."</f>
        <v>Total amount for Internationalisation and MfC exceeds the limit of  € 99.999.999.</v>
      </c>
      <c r="C179" s="141"/>
    </row>
    <row r="180" spans="1:3" ht="43.5" outlineLevel="1" x14ac:dyDescent="0.35">
      <c r="A180" s="141" t="s">
        <v>598</v>
      </c>
      <c r="B180" s="141" t="str">
        <f>"Total amount for Int. and MfC exceeds limit of "&amp;TEXT(Int_MfC_maxperc,"#%")&amp;" of the amount requested from NWO."</f>
        <v>Total amount for Int. and MfC exceeds limit of 100% of the amount requested from NWO.</v>
      </c>
      <c r="C180" s="141"/>
    </row>
    <row r="181" spans="1:3" ht="29" outlineLevel="1" x14ac:dyDescent="0.35">
      <c r="A181" s="141" t="s">
        <v>599</v>
      </c>
      <c r="B181" s="141" t="str">
        <f>"Can only be requested from a min. total NWO contribution of "&amp;TEXT(prog_mngmt_threshold_amount,"€ #.#")&amp;"."</f>
        <v>Can only be requested from a min. total NWO contribution of € 30.000.</v>
      </c>
      <c r="C181" s="141"/>
    </row>
    <row r="182" spans="1:3" ht="43.5" outlineLevel="1" x14ac:dyDescent="0.35">
      <c r="A182" s="141" t="s">
        <v>600</v>
      </c>
      <c r="B182" s="141" t="str">
        <f>"Total amount for Programme management exceeds limit of "&amp;TEXT(prog_mngmt_max_amount_perc,"#%")&amp;" of NWO budget."</f>
        <v>Total amount for Programme management exceeds limit of 25% of NWO budget.</v>
      </c>
      <c r="C182" s="141"/>
    </row>
    <row r="183" spans="1:3" outlineLevel="1" x14ac:dyDescent="0.35">
      <c r="A183" s="141" t="s">
        <v>797</v>
      </c>
      <c r="B183" s="141" t="b">
        <f>IF(cofunding_inkind_def_rates="yes","Type of in-kind co-funding not specified."&amp;"")</f>
        <v>0</v>
      </c>
      <c r="C183" s="141"/>
    </row>
    <row r="184" spans="1:3" ht="29" outlineLevel="1" x14ac:dyDescent="0.35">
      <c r="A184" s="141" t="s">
        <v>804</v>
      </c>
      <c r="B184" s="141" t="s">
        <v>805</v>
      </c>
      <c r="C184" s="141"/>
    </row>
    <row r="185" spans="1:3" outlineLevel="1" x14ac:dyDescent="0.35">
      <c r="A185" s="141" t="s">
        <v>801</v>
      </c>
      <c r="B185" s="141" t="b">
        <f>IF(cofunding_inkind_def_rates="yes","Type rate not specified."&amp;"")</f>
        <v>0</v>
      </c>
      <c r="C185" s="141"/>
    </row>
    <row r="186" spans="1:3" outlineLevel="1" x14ac:dyDescent="0.35">
      <c r="A186" s="141" t="s">
        <v>799</v>
      </c>
      <c r="B186" s="141" t="str">
        <f>IF(cofunding_inkind_def_rates="yes","Hourly rates exceeds maximum rate of "&amp;TEXT(cofunding_junior_rate,"€ #.#")&amp;".","")</f>
        <v/>
      </c>
      <c r="C186" s="141"/>
    </row>
    <row r="187" spans="1:3" outlineLevel="1" x14ac:dyDescent="0.35">
      <c r="A187" s="141" t="s">
        <v>800</v>
      </c>
      <c r="B187" s="141" t="str">
        <f>IF(cofunding_inkind_def_rates="yes","Hourly rates exceeds maximum rate of "&amp;TEXT(cofunding_senior_rate,"€ #.#")&amp;".","")</f>
        <v/>
      </c>
      <c r="C187" s="141"/>
    </row>
    <row r="188" spans="1:3" ht="31.5" customHeight="1" outlineLevel="1" x14ac:dyDescent="0.35">
      <c r="A188" s="141" t="s">
        <v>601</v>
      </c>
      <c r="B188" s="141" t="str">
        <f>"Total in-cash co-funding lower than minimum of "&amp;TEXT(cash_cofunding_minperc,"#%")&amp;" of total project budget."</f>
        <v>Total in-cash co-funding lower than minimum of % of total project budget.</v>
      </c>
      <c r="C188" s="141"/>
    </row>
    <row r="189" spans="1:3" ht="81" customHeight="1" outlineLevel="1" x14ac:dyDescent="0.35">
      <c r="A189" s="141" t="s">
        <v>620</v>
      </c>
      <c r="B189" s="141" t="e">
        <f>"Total co-funding less than "&amp; TEXT(cofunding_min_perc,"#0%")&amp;" of total project budget, in excess of " &amp; TEXT(cofunding_threshold,"€ #.#0") &amp; " (=" &amp; TEXT(cofunding_min_perc*(Total_project_budget-cofunding_threshold),"€ #.#")&amp;")."</f>
        <v>#REF!</v>
      </c>
      <c r="C189" s="141"/>
    </row>
    <row r="190" spans="1:3" ht="43.5" outlineLevel="1" x14ac:dyDescent="0.35">
      <c r="A190" s="141" t="s">
        <v>602</v>
      </c>
      <c r="B190" s="141" t="str">
        <f>"Total co-funding does not meet minimum of "&amp;TEXT(cofunding_min_perc,"#%")&amp;" of the total project budget."</f>
        <v>Total co-funding does not meet minimum of 25% of the total project budget.</v>
      </c>
      <c r="C190" s="141"/>
    </row>
    <row r="191" spans="1:3" ht="29" outlineLevel="1" x14ac:dyDescent="0.35">
      <c r="A191" s="141" t="s">
        <v>631</v>
      </c>
      <c r="B191" s="141" t="str">
        <f>IFERROR("Co-funding from private organisation does not meet minimum of "&amp;TEXT(cofunding_private_minperc,"#%")&amp;".","")</f>
        <v>Co-funding from private organisation does not meet minimum of N/A.</v>
      </c>
      <c r="C191" s="141"/>
    </row>
    <row r="192" spans="1:3" ht="29" outlineLevel="1" x14ac:dyDescent="0.35">
      <c r="A192" s="141" t="s">
        <v>603</v>
      </c>
      <c r="B192" s="141" t="str">
        <f>"Total co-funding exceeds limit of "&amp;TEXT(cofunding_max_perc,"#%")&amp;" of the total project budget."</f>
        <v>Total co-funding exceeds limit of 49% of the total project budget.</v>
      </c>
      <c r="C192" s="141"/>
    </row>
    <row r="193" spans="1:26" x14ac:dyDescent="0.35">
      <c r="A193" s="141"/>
      <c r="B193" s="141"/>
    </row>
    <row r="194" spans="1:26" x14ac:dyDescent="0.35">
      <c r="A194" s="141"/>
      <c r="B194" s="141"/>
    </row>
    <row r="195" spans="1:26" x14ac:dyDescent="0.35">
      <c r="A195" s="141"/>
      <c r="B195" s="141"/>
    </row>
    <row r="196" spans="1:26" ht="18.5" x14ac:dyDescent="0.35">
      <c r="A196" s="142" t="s">
        <v>778</v>
      </c>
      <c r="B196" s="141"/>
    </row>
    <row r="197" spans="1:26" x14ac:dyDescent="0.35">
      <c r="A197" s="141" t="s">
        <v>778</v>
      </c>
      <c r="B197" s="141" t="s">
        <v>779</v>
      </c>
      <c r="C197" s="113" t="s">
        <v>780</v>
      </c>
      <c r="D197" s="113" t="s">
        <v>781</v>
      </c>
      <c r="E197" s="113" t="s">
        <v>782</v>
      </c>
    </row>
    <row r="198" spans="1:26" x14ac:dyDescent="0.35">
      <c r="A198" s="141" t="str">
        <f t="array" aca="1" ref="A198" ca="1">IFERROR(INDEX(combined_dates[[#This Row],[start date missing]:[start date before now]],1,MATCH(TRUE,LEN(combined_dates[[#This Row],[start date missing]:[start date before now]])&gt;0,0)),"")</f>
        <v/>
      </c>
      <c r="B198" s="141" t="str">
        <f>IF(AND(Total_NWO_funding&gt;0,startdate=""),$B$121,"")</f>
        <v/>
      </c>
      <c r="C198" s="113" t="str">
        <f>IF(AND(Total_NWO_funding&gt;0,enddate=""),$B$122,"")</f>
        <v/>
      </c>
      <c r="D198" s="113" t="str">
        <f>IF(AND(startdate&gt;enddate,NOT(ISBLANK(enddate))),$B$120,"")</f>
        <v/>
      </c>
      <c r="E198" s="113" t="str">
        <f ca="1">IF(AND(NOT(ISBLANK(startdate)),startdate&lt;TODAY()),$B$123,"")</f>
        <v/>
      </c>
    </row>
    <row r="199" spans="1:26" x14ac:dyDescent="0.35">
      <c r="A199" s="141"/>
      <c r="B199" s="141"/>
    </row>
    <row r="200" spans="1:26" x14ac:dyDescent="0.35">
      <c r="A200" s="141"/>
      <c r="B200" s="141"/>
    </row>
    <row r="201" spans="1:26" x14ac:dyDescent="0.35">
      <c r="A201" s="141"/>
      <c r="B201" s="141"/>
    </row>
    <row r="202" spans="1:26" x14ac:dyDescent="0.35">
      <c r="A202" s="141"/>
      <c r="B202" s="141"/>
    </row>
    <row r="203" spans="1:26" x14ac:dyDescent="0.35">
      <c r="A203" s="141"/>
      <c r="B203" s="141"/>
    </row>
    <row r="204" spans="1:26" x14ac:dyDescent="0.35">
      <c r="A204" s="141"/>
      <c r="B204" s="141"/>
    </row>
    <row r="205" spans="1:26" ht="18.5" x14ac:dyDescent="0.35">
      <c r="A205" s="142" t="s">
        <v>585</v>
      </c>
      <c r="B205" s="141"/>
    </row>
    <row r="207" spans="1:26" outlineLevel="1" x14ac:dyDescent="0.35">
      <c r="A207" s="113" t="s">
        <v>563</v>
      </c>
      <c r="B207" s="113" t="s">
        <v>576</v>
      </c>
      <c r="C207" s="113" t="s">
        <v>562</v>
      </c>
      <c r="D207" s="113" t="s">
        <v>785</v>
      </c>
      <c r="E207" s="113" t="s">
        <v>736</v>
      </c>
      <c r="F207" s="113" t="s">
        <v>816</v>
      </c>
      <c r="G207" s="113" t="s">
        <v>817</v>
      </c>
      <c r="H207" s="113" t="s">
        <v>565</v>
      </c>
      <c r="I207" s="113" t="s">
        <v>566</v>
      </c>
      <c r="J207" s="113" t="s">
        <v>568</v>
      </c>
      <c r="K207" s="113" t="s">
        <v>569</v>
      </c>
      <c r="L207" s="113" t="s">
        <v>570</v>
      </c>
      <c r="M207" s="113" t="s">
        <v>571</v>
      </c>
      <c r="N207" s="113" t="s">
        <v>572</v>
      </c>
      <c r="O207" s="113" t="s">
        <v>574</v>
      </c>
      <c r="P207" s="113" t="s">
        <v>575</v>
      </c>
      <c r="Q207" s="113" t="s">
        <v>579</v>
      </c>
      <c r="R207" s="113" t="s">
        <v>580</v>
      </c>
      <c r="S207" s="113" t="s">
        <v>581</v>
      </c>
      <c r="T207" s="113" t="s">
        <v>582</v>
      </c>
      <c r="U207" s="113" t="s">
        <v>704</v>
      </c>
      <c r="V207" s="113" t="s">
        <v>583</v>
      </c>
      <c r="W207" s="113" t="s">
        <v>764</v>
      </c>
      <c r="X207" s="113" t="s">
        <v>52</v>
      </c>
      <c r="Y207" s="113" t="s">
        <v>717</v>
      </c>
      <c r="Z207" s="113" t="s">
        <v>705</v>
      </c>
    </row>
    <row r="208" spans="1:26" outlineLevel="1" x14ac:dyDescent="0.35">
      <c r="A208" s="113">
        <v>1</v>
      </c>
      <c r="B208" s="113" t="str">
        <f t="array" ref="B208">IFERROR(INDEX(personnel_ac_notes[[#This Row],[Exceeding nr months]:[Costs specified]],1,MATCH(TRUE,LEN(personnel_ac_notes[[#This Row],[Exceeding nr months]:[Costs specified]])&gt;0,0)),"")</f>
        <v/>
      </c>
      <c r="C208" s="113" t="str">
        <f>IFERROR(IF(INDEX(#REF!,A208)&gt;Max_project_duration,$B$128,""),"")</f>
        <v/>
      </c>
      <c r="D208" s="113" t="str">
        <f>IFERROR(IF(AND(LEN(INDEX(#REF!,A208))+LEN(INDEX(#REF!,A208))+LEN(INDEX(#REF!,A208))&gt;0,LEN(INDEX(#REF!,A208-1))+LEN(INDEX(#REF!,A208-1))+LEN(INDEX(#REF!,A208-1))=0),$B$127,""),"")</f>
        <v/>
      </c>
      <c r="E208" s="113" t="str">
        <f>IF(AND(NOT(ISBLANK(INDEX(#REF!,A208))),OR(ISBLANK(INDEX(#REF!,A208)),ISBLANK(INDEX(#REF!,A208)))),VLOOKUP(INDEX(#REF!,A208),salaries_academic[],2,FALSE),"")</f>
        <v/>
      </c>
      <c r="F208" s="113" t="str">
        <f>IFERROR(IF(COUNTIF(INDEX(#REF!,A208),"*- PhD*")&gt;0,IF(INDEX(#REF!,A208)*INDEX(#REF!,A208)&lt;pers_PhD_min_months,$B$129,""),""),"")</f>
        <v/>
      </c>
      <c r="G208" s="113" t="str">
        <f>IFERROR(IF(COUNTIF(INDEX(#REF!,$A208),"*- PhD*")&gt;0,IF(INDEX(#REF!,$A208)*INDEX(#REF!,$A208)&gt;pers_PhD_max_months,$B$130,""),""),"")</f>
        <v/>
      </c>
      <c r="H208" s="113" t="str">
        <f>IFERROR(IF(COUNTIF(INDEX(#REF!,A208),"*year*")&gt;0,IF(INDEX(#REF!,A208)*INDEX(#REF!,A208)&lt;pers_3yPhD_min_months,$B$131,""),""),"")</f>
        <v/>
      </c>
      <c r="I208" s="113" t="str">
        <f>IFERROR(IF(COUNTIF(INDEX(#REF!,A208),"*PDEng*")&gt;0,IF(OR(IFERROR(MATCH("*PhD*",#REF!,0),0)&gt;0,IFERROR(MATCH("*PostDoc*",#REF!,0),0)&gt;0),"",$B$132),""),"")</f>
        <v/>
      </c>
      <c r="J208" s="113" t="str">
        <f>IFERROR(IF(COUNTIF(INDEX(#REF!,A208),"*PDEng*")&gt;0,IF(INDEX(#REF!,A208)*INDEX(#REF!,A208)&gt;pers_PDEng_max_months,$B$133,""),""),"")</f>
        <v/>
      </c>
      <c r="K208" s="113" t="str">
        <f>IFERROR(IF(COUNTIF(INDEX(#REF!,A208),"*PostDoc*")&gt;0,IF(INDEX(#REF!,A208)*INDEX(#REF!,A208)&lt;pers_PD_min_months,$B$134,""),""),"")</f>
        <v/>
      </c>
      <c r="L208" s="113" t="str">
        <f>IFERROR(IF(COUNTIF(INDEX(#REF!,A208),"*PostDoc*")&gt;0,IF(INDEX(#REF!,A208)*INDEX(#REF!,A208)&gt;pers_PD_max_months,$B$135,""),""),"")</f>
        <v/>
      </c>
      <c r="M208" s="113" t="str">
        <f>IFERROR(IF(COUNTIF(INDEX(#REF!,A208),"*Non-scientific*")&gt;0,IF(OR(IFERROR(MATCH("*PhD*",#REF!,0),0)&gt;0,IFERROR(MATCH("*PostDoc*",#REF!,0),0)&gt;0),"",$B$136),""),"")</f>
        <v/>
      </c>
      <c r="N208" s="113" t="str">
        <f>IFERROR(IF(COUNTIF(INDEX(#REF!,A208),"*Non-scientific*")&gt;0,IF(Total_NSP&gt;pers_max_NSP,$B$137,""),""),"")</f>
        <v/>
      </c>
      <c r="O208" s="113" t="str">
        <f>IFERROR(IF(COUNTIF(INDEX(#REF!,A208),"*Non-scientific*")&gt;0,IF(INDEX(#REF!,A208)*INDEX(#REF!,A208)&lt;pers_NSP_min_months,$B$138,""),""),"")</f>
        <v/>
      </c>
      <c r="P208" s="113" t="str">
        <f>IFERROR(IF(COUNTIF(INDEX(#REF!,A208),"*Non-scientific*")&gt;0,IF(INDEX(#REF!,A208)*INDEX(#REF!,A208)&gt;pers_NSP_max_months,$B$139,""),""),"")</f>
        <v/>
      </c>
      <c r="Q208" s="113" t="str">
        <f>IFERROR(IF(COUNTIF(INDEX(#REF!,A208),"*Other scientific*")&gt;0,IF(OR(IFERROR(MATCH("*PhD*",#REF!,0),0)&gt;0,IFERROR(MATCH("*PostDoc*",#REF!,0),0)&gt;0),"",$B$140),""),"")</f>
        <v/>
      </c>
      <c r="R208" s="113" t="str">
        <f>IFERROR(IF(COUNTIF(INDEX(#REF!,A208),"*Other scientific*")&gt;0,IF(Total_OSP&gt;pers_max_OSP,$B$141,""),""),"")</f>
        <v/>
      </c>
      <c r="S208" s="113" t="str">
        <f>IFERROR(IF(COUNTIF(INDEX(#REF!,A208),"*Other scientific*")&gt;0,IF(INDEX(#REF!,A208)*INDEX(#REF!,A208)&lt;pers_OSP_min_months,$B$142,""),""),"")</f>
        <v/>
      </c>
      <c r="T208" s="113" t="str">
        <f>IFERROR(IF(COUNTIF(INDEX(#REF!,A208),"*Other scientific*")&gt;0,IF(INDEX(#REF!,A208)*INDEX(#REF!,A208)&gt;pers_OSP_max_months,$B$143,""),""),"")</f>
        <v/>
      </c>
      <c r="U208" s="113" t="str">
        <f>IFERROR(IF(COUNTIF(INDEX(#REF!,A208),"*leave*")&gt;0,IF(Total_Research_leave&gt;pers_leave_maxperc*Total_NWO_funding,$B$144,""),""),"")</f>
        <v/>
      </c>
      <c r="V208" s="113" t="str">
        <f>IFERROR(IF(COUNTIF(INDEX(#REF!,A208),"*leave*")&gt;0,IF(Research_leave_FTE_months&gt;pers_leave_maxduration,$B$145,""),""),"")</f>
        <v/>
      </c>
      <c r="W208" s="113" t="str">
        <f>IFERROR(IF(AND(INDEX(#REF!,A208)=0,INDEX(salaries_academic[[category]:[1]],MATCH(INDEX(#REF!,A208),salaries_academic[category],0),3)=0),$B$148,""),"")</f>
        <v/>
      </c>
      <c r="X208" s="113" t="e">
        <f>IF(AND(organisation_type="yes",INDEX(#REF!,A208,1)&lt;&gt;"",ISBLANK(INDEX(#REF!,A208,1))),$B$146,"")</f>
        <v>#REF!</v>
      </c>
      <c r="Y208" s="113" t="e">
        <f>IF(AND(organisation_name="yes",INDEX(#REF!,A208,1)&lt;&gt;"",ISBLANK(INDEX(#REF!,A208,1))),$B$147,"")</f>
        <v>#REF!</v>
      </c>
      <c r="Z208" s="113" t="str">
        <f>IFERROR(IF(AND(INDEX(#REF!,A208)&gt;0,INDEX(salaries_academic[[category]:[1]],MATCH(INDEX(#REF!,A208),salaries_academic[category],0),3)&gt;0),$B$149,""),"")</f>
        <v/>
      </c>
    </row>
    <row r="209" spans="1:26" outlineLevel="1" x14ac:dyDescent="0.35">
      <c r="A209" s="113">
        <v>2</v>
      </c>
      <c r="B209" s="113" t="str">
        <f t="array" ref="B209">IFERROR(INDEX(personnel_ac_notes[[#This Row],[Exceeding nr months]:[Costs specified]],1,MATCH(TRUE,LEN(personnel_ac_notes[[#This Row],[Exceeding nr months]:[Costs specified]])&gt;0,0)),"")</f>
        <v/>
      </c>
      <c r="C209" s="113" t="str">
        <f>IFERROR(IF(INDEX(#REF!,A209)&gt;Max_project_duration,$B$128,""),"")</f>
        <v/>
      </c>
      <c r="D209" s="113" t="str">
        <f>IFERROR(IF(AND(LEN(INDEX(#REF!,A209))+LEN(INDEX(#REF!,A209))+LEN(INDEX(#REF!,A209))&gt;0,LEN(INDEX(#REF!,A209-1))+LEN(INDEX(#REF!,A209-1))+LEN(INDEX(#REF!,A209-1))=0),$B$127,""),"")</f>
        <v/>
      </c>
      <c r="E209" s="113" t="str">
        <f>IF(AND(NOT(ISBLANK(INDEX(#REF!,A209))),OR(ISBLANK(INDEX(#REF!,A209)),ISBLANK(INDEX(#REF!,A209)))),VLOOKUP(INDEX(#REF!,A209),salaries_academic[],2,FALSE),"")</f>
        <v/>
      </c>
      <c r="F209" s="113" t="str">
        <f>IFERROR(IF(COUNTIF(INDEX(#REF!,A209),"*- PhD*")&gt;0,IF(INDEX(#REF!,A209)*INDEX(#REF!,A209)&lt;pers_PhD_min_months,$B$129,""),""),"")</f>
        <v/>
      </c>
      <c r="G209" s="113" t="str">
        <f>IFERROR(IF(COUNTIF(INDEX(#REF!,$A209),"*- PhD*")&gt;0,IF(INDEX(#REF!,$A209)*INDEX(#REF!,$A209)&gt;pers_PhD_max_months,$B$130,""),""),"")</f>
        <v/>
      </c>
      <c r="H209" s="113" t="str">
        <f>IFERROR(IF(COUNTIF(INDEX(#REF!,A209),"*year*")&gt;0,IF(INDEX(#REF!,A209)*INDEX(#REF!,A209)&lt;pers_3yPhD_min_months,$B$131,""),""),"")</f>
        <v/>
      </c>
      <c r="I209" s="113" t="str">
        <f>IFERROR(IF(COUNTIF(INDEX(#REF!,A209),"*PDEng*")&gt;0,IF(OR(IFERROR(MATCH("*PhD*",#REF!,0),0)&gt;0,IFERROR(MATCH("*PostDoc*",#REF!,0),0)&gt;0),"",$B$132),""),"")</f>
        <v/>
      </c>
      <c r="J209" s="113" t="str">
        <f>IFERROR(IF(COUNTIF(INDEX(#REF!,A209),"*PDEng*")&gt;0,IF(INDEX(#REF!,A209)*INDEX(#REF!,A209)&gt;pers_PDEng_max_months,$B$133,""),""),"")</f>
        <v/>
      </c>
      <c r="K209" s="113" t="str">
        <f>IFERROR(IF(COUNTIF(INDEX(#REF!,A209),"*PostDoc*")&gt;0,IF(INDEX(#REF!,A209)*INDEX(#REF!,A209)&lt;pers_PD_min_months,$B$134,""),""),"")</f>
        <v/>
      </c>
      <c r="L209" s="113" t="str">
        <f>IFERROR(IF(COUNTIF(INDEX(#REF!,A209),"*PostDoc*")&gt;0,IF(INDEX(#REF!,A209)*INDEX(#REF!,A209)&gt;pers_PD_max_months,$B$135,""),""),"")</f>
        <v/>
      </c>
      <c r="M209" s="113" t="str">
        <f>IFERROR(IF(COUNTIF(INDEX(#REF!,A209),"*Non-scientific*")&gt;0,IF(OR(IFERROR(MATCH("*PhD*",#REF!,0),0)&gt;0,IFERROR(MATCH("*PostDoc*",#REF!,0),0)&gt;0),"",$B$136),""),"")</f>
        <v/>
      </c>
      <c r="N209" s="113" t="str">
        <f>IFERROR(IF(COUNTIF(INDEX(#REF!,A209),"*Non-scientific*")&gt;0,IF(Total_NSP&gt;pers_max_NSP,$B$137,""),""),"")</f>
        <v/>
      </c>
      <c r="O209" s="113" t="str">
        <f>IFERROR(IF(COUNTIF(INDEX(#REF!,A209),"*Non-scientific*")&gt;0,IF(INDEX(#REF!,A209)*INDEX(#REF!,A209)&lt;pers_NSP_min_months,$B$138,""),""),"")</f>
        <v/>
      </c>
      <c r="P209" s="113" t="str">
        <f>IFERROR(IF(COUNTIF(INDEX(#REF!,A209),"*Non-scientific*")&gt;0,IF(INDEX(#REF!,A209)*INDEX(#REF!,A209)&gt;pers_NSP_max_months,$B$139,""),""),"")</f>
        <v/>
      </c>
      <c r="Q209" s="113" t="str">
        <f>IFERROR(IF(COUNTIF(INDEX(#REF!,A209),"*Other scientific*")&gt;0,IF(OR(IFERROR(MATCH("*PhD*",#REF!,0),0)&gt;0,IFERROR(MATCH("*PostDoc*",#REF!,0),0)&gt;0),"",$B$140),""),"")</f>
        <v/>
      </c>
      <c r="R209" s="113" t="str">
        <f>IFERROR(IF(COUNTIF(INDEX(#REF!,A209),"*Other scientific*")&gt;0,IF(Total_OSP&gt;pers_max_OSP,$B$141,""),""),"")</f>
        <v/>
      </c>
      <c r="S209" s="113" t="str">
        <f>IFERROR(IF(COUNTIF(INDEX(#REF!,A209),"*Other scientific*")&gt;0,IF(INDEX(#REF!,A209)*INDEX(#REF!,A209)&lt;pers_OSP_min_months,$B$142,""),""),"")</f>
        <v/>
      </c>
      <c r="T209" s="113" t="str">
        <f>IFERROR(IF(COUNTIF(INDEX(#REF!,A209),"*Other scientific*")&gt;0,IF(INDEX(#REF!,A209)*INDEX(#REF!,A209)&gt;pers_OSP_max_months,$B$143,""),""),"")</f>
        <v/>
      </c>
      <c r="U209" s="113" t="str">
        <f>IFERROR(IF(COUNTIF(INDEX(#REF!,A209),"*leave*")&gt;0,IF(Total_Research_leave&gt;pers_leave_maxperc*Total_NWO_funding,$B$144,""),""),"")</f>
        <v/>
      </c>
      <c r="V209" s="113" t="str">
        <f>IFERROR(IF(COUNTIF(INDEX(#REF!,A209),"*leave*")&gt;0,IF(Research_leave_FTE_months&gt;pers_leave_maxduration,$B$145,""),""),"")</f>
        <v/>
      </c>
      <c r="W209" s="113" t="str">
        <f>IFERROR(IF(AND(INDEX(#REF!,A209)=0,INDEX(salaries_academic[[category]:[1]],MATCH(INDEX(#REF!,A209),salaries_academic[category],0),3)=0),$B$148,""),"")</f>
        <v/>
      </c>
      <c r="X209" s="113" t="e">
        <f>IF(AND(organisation_type="yes",INDEX(#REF!,A209,1)&lt;&gt;"",ISBLANK(INDEX(#REF!,A209,1))),$B$146,"")</f>
        <v>#REF!</v>
      </c>
      <c r="Y209" s="113" t="e">
        <f>IF(AND(organisation_name="yes",INDEX(#REF!,A209,1)&lt;&gt;"",ISBLANK(INDEX(#REF!,A209,1))),$B$147,"")</f>
        <v>#REF!</v>
      </c>
      <c r="Z209" s="113" t="str">
        <f>IFERROR(IF(AND(INDEX(#REF!,A209)&gt;0,INDEX(salaries_academic[[category]:[1]],MATCH(INDEX(#REF!,A209),salaries_academic[category],0),3)&gt;0),$B$149,""),"")</f>
        <v/>
      </c>
    </row>
    <row r="210" spans="1:26" outlineLevel="1" x14ac:dyDescent="0.35">
      <c r="A210" s="113">
        <v>3</v>
      </c>
      <c r="B210" s="113" t="str">
        <f t="array" ref="B210">IFERROR(INDEX(personnel_ac_notes[[#This Row],[Exceeding nr months]:[Costs specified]],1,MATCH(TRUE,LEN(personnel_ac_notes[[#This Row],[Exceeding nr months]:[Costs specified]])&gt;0,0)),"")</f>
        <v/>
      </c>
      <c r="C210" s="113" t="str">
        <f>IFERROR(IF(INDEX(#REF!,A210)&gt;Max_project_duration,$B$128,""),"")</f>
        <v/>
      </c>
      <c r="D210" s="113" t="str">
        <f>IFERROR(IF(AND(LEN(INDEX(#REF!,A210))+LEN(INDEX(#REF!,A210))+LEN(INDEX(#REF!,A210))&gt;0,LEN(INDEX(#REF!,A210-1))+LEN(INDEX(#REF!,A210-1))+LEN(INDEX(#REF!,A210-1))=0),$B$127,""),"")</f>
        <v/>
      </c>
      <c r="E210" s="113" t="str">
        <f>IF(AND(NOT(ISBLANK(INDEX(#REF!,A210))),OR(ISBLANK(INDEX(#REF!,A210)),ISBLANK(INDEX(#REF!,A210)))),VLOOKUP(INDEX(#REF!,A210),salaries_academic[],2,FALSE),"")</f>
        <v/>
      </c>
      <c r="F210" s="113" t="str">
        <f>IFERROR(IF(COUNTIF(INDEX(#REF!,A210),"*- PhD*")&gt;0,IF(INDEX(#REF!,A210)*INDEX(#REF!,A210)&lt;pers_PhD_min_months,$B$129,""),""),"")</f>
        <v/>
      </c>
      <c r="G210" s="113" t="str">
        <f>IFERROR(IF(COUNTIF(INDEX(#REF!,$A210),"*- PhD*")&gt;0,IF(INDEX(#REF!,$A210)*INDEX(#REF!,$A210)&gt;pers_PhD_max_months,$B$130,""),""),"")</f>
        <v/>
      </c>
      <c r="H210" s="113" t="str">
        <f>IFERROR(IF(COUNTIF(INDEX(#REF!,A210),"*year*")&gt;0,IF(INDEX(#REF!,A210)*INDEX(#REF!,A210)&lt;pers_3yPhD_min_months,$B$131,""),""),"")</f>
        <v/>
      </c>
      <c r="I210" s="113" t="str">
        <f>IFERROR(IF(COUNTIF(INDEX(#REF!,A210),"*PDEng*")&gt;0,IF(OR(IFERROR(MATCH("*PhD*",#REF!,0),0)&gt;0,IFERROR(MATCH("*PostDoc*",#REF!,0),0)&gt;0),"",$B$132),""),"")</f>
        <v/>
      </c>
      <c r="J210" s="113" t="str">
        <f>IFERROR(IF(COUNTIF(INDEX(#REF!,A210),"*PDEng*")&gt;0,IF(INDEX(#REF!,A210)*INDEX(#REF!,A210)&gt;pers_PDEng_max_months,$B$133,""),""),"")</f>
        <v/>
      </c>
      <c r="K210" s="113" t="str">
        <f>IFERROR(IF(COUNTIF(INDEX(#REF!,A210),"*PostDoc*")&gt;0,IF(INDEX(#REF!,A210)*INDEX(#REF!,A210)&lt;pers_PD_min_months,$B$134,""),""),"")</f>
        <v/>
      </c>
      <c r="L210" s="113" t="str">
        <f>IFERROR(IF(COUNTIF(INDEX(#REF!,A210),"*PostDoc*")&gt;0,IF(INDEX(#REF!,A210)*INDEX(#REF!,A210)&gt;pers_PD_max_months,$B$135,""),""),"")</f>
        <v/>
      </c>
      <c r="M210" s="113" t="str">
        <f>IFERROR(IF(COUNTIF(INDEX(#REF!,A210),"*Non-scientific*")&gt;0,IF(OR(IFERROR(MATCH("*PhD*",#REF!,0),0)&gt;0,IFERROR(MATCH("*PostDoc*",#REF!,0),0)&gt;0),"",$B$136),""),"")</f>
        <v/>
      </c>
      <c r="N210" s="113" t="str">
        <f>IFERROR(IF(COUNTIF(INDEX(#REF!,A210),"*Non-scientific*")&gt;0,IF(Total_NSP&gt;pers_max_NSP,$B$137,""),""),"")</f>
        <v/>
      </c>
      <c r="O210" s="113" t="str">
        <f>IFERROR(IF(COUNTIF(INDEX(#REF!,A210),"*Non-scientific*")&gt;0,IF(INDEX(#REF!,A210)*INDEX(#REF!,A210)&lt;pers_NSP_min_months,$B$138,""),""),"")</f>
        <v/>
      </c>
      <c r="P210" s="113" t="str">
        <f>IFERROR(IF(COUNTIF(INDEX(#REF!,A210),"*Non-scientific*")&gt;0,IF(INDEX(#REF!,A210)*INDEX(#REF!,A210)&gt;pers_NSP_max_months,$B$139,""),""),"")</f>
        <v/>
      </c>
      <c r="Q210" s="113" t="str">
        <f>IFERROR(IF(COUNTIF(INDEX(#REF!,A210),"*Other scientific*")&gt;0,IF(OR(IFERROR(MATCH("*PhD*",#REF!,0),0)&gt;0,IFERROR(MATCH("*PostDoc*",#REF!,0),0)&gt;0),"",$B$140),""),"")</f>
        <v/>
      </c>
      <c r="R210" s="113" t="str">
        <f>IFERROR(IF(COUNTIF(INDEX(#REF!,A210),"*Other scientific*")&gt;0,IF(Total_OSP&gt;pers_max_OSP,$B$141,""),""),"")</f>
        <v/>
      </c>
      <c r="S210" s="113" t="str">
        <f>IFERROR(IF(COUNTIF(INDEX(#REF!,A210),"*Other scientific*")&gt;0,IF(INDEX(#REF!,A210)*INDEX(#REF!,A210)&lt;pers_OSP_min_months,$B$142,""),""),"")</f>
        <v/>
      </c>
      <c r="T210" s="113" t="str">
        <f>IFERROR(IF(COUNTIF(INDEX(#REF!,A210),"*Other scientific*")&gt;0,IF(INDEX(#REF!,A210)*INDEX(#REF!,A210)&gt;pers_OSP_max_months,$B$143,""),""),"")</f>
        <v/>
      </c>
      <c r="U210" s="113" t="str">
        <f>IFERROR(IF(COUNTIF(INDEX(#REF!,A210),"*leave*")&gt;0,IF(Total_Research_leave&gt;pers_leave_maxperc*Total_NWO_funding,$B$144,""),""),"")</f>
        <v/>
      </c>
      <c r="V210" s="113" t="str">
        <f>IFERROR(IF(COUNTIF(INDEX(#REF!,A210),"*leave*")&gt;0,IF(Research_leave_FTE_months&gt;pers_leave_maxduration,$B$145,""),""),"")</f>
        <v/>
      </c>
      <c r="W210" s="113" t="str">
        <f>IFERROR(IF(AND(INDEX(#REF!,A210)=0,INDEX(salaries_academic[[category]:[1]],MATCH(INDEX(#REF!,A210),salaries_academic[category],0),3)=0),$B$148,""),"")</f>
        <v/>
      </c>
      <c r="X210" s="113" t="e">
        <f>IF(AND(organisation_type="yes",INDEX(#REF!,A210,1)&lt;&gt;"",ISBLANK(INDEX(#REF!,A210,1))),$B$146,"")</f>
        <v>#REF!</v>
      </c>
      <c r="Y210" s="113" t="e">
        <f>IF(AND(organisation_name="yes",INDEX(#REF!,A210,1)&lt;&gt;"",ISBLANK(INDEX(#REF!,A210,1))),$B$147,"")</f>
        <v>#REF!</v>
      </c>
      <c r="Z210" s="113" t="str">
        <f>IFERROR(IF(AND(INDEX(#REF!,A210)&gt;0,INDEX(salaries_academic[[category]:[1]],MATCH(INDEX(#REF!,A210),salaries_academic[category],0),3)&gt;0),$B$149,""),"")</f>
        <v/>
      </c>
    </row>
    <row r="211" spans="1:26" outlineLevel="1" x14ac:dyDescent="0.35">
      <c r="A211" s="113">
        <v>4</v>
      </c>
      <c r="B211" s="113" t="str">
        <f t="array" ref="B211">IFERROR(INDEX(personnel_ac_notes[[#This Row],[Exceeding nr months]:[Costs specified]],1,MATCH(TRUE,LEN(personnel_ac_notes[[#This Row],[Exceeding nr months]:[Costs specified]])&gt;0,0)),"")</f>
        <v/>
      </c>
      <c r="C211" s="113" t="str">
        <f>IFERROR(IF(INDEX(#REF!,A211)&gt;Max_project_duration,$B$128,""),"")</f>
        <v/>
      </c>
      <c r="D211" s="113" t="str">
        <f>IFERROR(IF(AND(LEN(INDEX(#REF!,A211))+LEN(INDEX(#REF!,A211))+LEN(INDEX(#REF!,A211))&gt;0,LEN(INDEX(#REF!,A211-1))+LEN(INDEX(#REF!,A211-1))+LEN(INDEX(#REF!,A211-1))=0),$B$127,""),"")</f>
        <v/>
      </c>
      <c r="E211" s="113" t="str">
        <f>IF(AND(NOT(ISBLANK(INDEX(#REF!,A211))),OR(ISBLANK(INDEX(#REF!,A211)),ISBLANK(INDEX(#REF!,A211)))),VLOOKUP(INDEX(#REF!,A211),salaries_academic[],2,FALSE),"")</f>
        <v/>
      </c>
      <c r="F211" s="113" t="str">
        <f>IFERROR(IF(COUNTIF(INDEX(#REF!,A211),"*- PhD*")&gt;0,IF(INDEX(#REF!,A211)*INDEX(#REF!,A211)&lt;pers_PhD_min_months,$B$129,""),""),"")</f>
        <v/>
      </c>
      <c r="G211" s="113" t="str">
        <f>IFERROR(IF(COUNTIF(INDEX(#REF!,$A211),"*- PhD*")&gt;0,IF(INDEX(#REF!,$A211)*INDEX(#REF!,$A211)&gt;pers_PhD_max_months,$B$130,""),""),"")</f>
        <v/>
      </c>
      <c r="H211" s="113" t="str">
        <f>IFERROR(IF(COUNTIF(INDEX(#REF!,A211),"*year*")&gt;0,IF(INDEX(#REF!,A211)*INDEX(#REF!,A211)&lt;pers_3yPhD_min_months,$B$131,""),""),"")</f>
        <v/>
      </c>
      <c r="I211" s="113" t="str">
        <f>IFERROR(IF(COUNTIF(INDEX(#REF!,A211),"*PDEng*")&gt;0,IF(OR(IFERROR(MATCH("*PhD*",#REF!,0),0)&gt;0,IFERROR(MATCH("*PostDoc*",#REF!,0),0)&gt;0),"",$B$132),""),"")</f>
        <v/>
      </c>
      <c r="J211" s="113" t="str">
        <f>IFERROR(IF(COUNTIF(INDEX(#REF!,A211),"*PDEng*")&gt;0,IF(INDEX(#REF!,A211)*INDEX(#REF!,A211)&gt;pers_PDEng_max_months,$B$133,""),""),"")</f>
        <v/>
      </c>
      <c r="K211" s="113" t="str">
        <f>IFERROR(IF(COUNTIF(INDEX(#REF!,A211),"*PostDoc*")&gt;0,IF(INDEX(#REF!,A211)*INDEX(#REF!,A211)&lt;pers_PD_min_months,$B$134,""),""),"")</f>
        <v/>
      </c>
      <c r="L211" s="113" t="str">
        <f>IFERROR(IF(COUNTIF(INDEX(#REF!,A211),"*PostDoc*")&gt;0,IF(INDEX(#REF!,A211)*INDEX(#REF!,A211)&gt;pers_PD_max_months,$B$135,""),""),"")</f>
        <v/>
      </c>
      <c r="M211" s="113" t="str">
        <f>IFERROR(IF(COUNTIF(INDEX(#REF!,A211),"*Non-scientific*")&gt;0,IF(OR(IFERROR(MATCH("*PhD*",#REF!,0),0)&gt;0,IFERROR(MATCH("*PostDoc*",#REF!,0),0)&gt;0),"",$B$136),""),"")</f>
        <v/>
      </c>
      <c r="N211" s="113" t="str">
        <f>IFERROR(IF(COUNTIF(INDEX(#REF!,A211),"*Non-scientific*")&gt;0,IF(Total_NSP&gt;pers_max_NSP,$B$137,""),""),"")</f>
        <v/>
      </c>
      <c r="O211" s="113" t="str">
        <f>IFERROR(IF(COUNTIF(INDEX(#REF!,A211),"*Non-scientific*")&gt;0,IF(INDEX(#REF!,A211)*INDEX(#REF!,A211)&lt;pers_NSP_min_months,$B$138,""),""),"")</f>
        <v/>
      </c>
      <c r="P211" s="113" t="str">
        <f>IFERROR(IF(COUNTIF(INDEX(#REF!,A211),"*Non-scientific*")&gt;0,IF(INDEX(#REF!,A211)*INDEX(#REF!,A211)&gt;pers_NSP_max_months,$B$139,""),""),"")</f>
        <v/>
      </c>
      <c r="Q211" s="113" t="str">
        <f>IFERROR(IF(COUNTIF(INDEX(#REF!,A211),"*Other scientific*")&gt;0,IF(OR(IFERROR(MATCH("*PhD*",#REF!,0),0)&gt;0,IFERROR(MATCH("*PostDoc*",#REF!,0),0)&gt;0),"",$B$140),""),"")</f>
        <v/>
      </c>
      <c r="R211" s="113" t="str">
        <f>IFERROR(IF(COUNTIF(INDEX(#REF!,A211),"*Other scientific*")&gt;0,IF(Total_OSP&gt;pers_max_OSP,$B$141,""),""),"")</f>
        <v/>
      </c>
      <c r="S211" s="113" t="str">
        <f>IFERROR(IF(COUNTIF(INDEX(#REF!,A211),"*Other scientific*")&gt;0,IF(INDEX(#REF!,A211)*INDEX(#REF!,A211)&lt;pers_OSP_min_months,$B$142,""),""),"")</f>
        <v/>
      </c>
      <c r="T211" s="113" t="str">
        <f>IFERROR(IF(COUNTIF(INDEX(#REF!,A211),"*Other scientific*")&gt;0,IF(INDEX(#REF!,A211)*INDEX(#REF!,A211)&gt;pers_OSP_max_months,$B$143,""),""),"")</f>
        <v/>
      </c>
      <c r="U211" s="113" t="str">
        <f>IFERROR(IF(COUNTIF(INDEX(#REF!,A211),"*leave*")&gt;0,IF(Total_Research_leave&gt;pers_leave_maxperc*Total_NWO_funding,$B$144,""),""),"")</f>
        <v/>
      </c>
      <c r="V211" s="113" t="str">
        <f>IFERROR(IF(COUNTIF(INDEX(#REF!,A211),"*leave*")&gt;0,IF(Research_leave_FTE_months&gt;pers_leave_maxduration,$B$145,""),""),"")</f>
        <v/>
      </c>
      <c r="W211" s="113" t="str">
        <f>IFERROR(IF(AND(INDEX(#REF!,A211)=0,INDEX(salaries_academic[[category]:[1]],MATCH(INDEX(#REF!,A211),salaries_academic[category],0),3)=0),$B$148,""),"")</f>
        <v/>
      </c>
      <c r="X211" s="113" t="e">
        <f>IF(AND(organisation_type="yes",INDEX(#REF!,A211,1)&lt;&gt;"",ISBLANK(INDEX(#REF!,A211,1))),$B$146,"")</f>
        <v>#REF!</v>
      </c>
      <c r="Y211" s="113" t="e">
        <f>IF(AND(organisation_name="yes",INDEX(#REF!,A211,1)&lt;&gt;"",ISBLANK(INDEX(#REF!,A211,1))),$B$147,"")</f>
        <v>#REF!</v>
      </c>
      <c r="Z211" s="113" t="str">
        <f>IFERROR(IF(AND(INDEX(#REF!,A211)&gt;0,INDEX(salaries_academic[[category]:[1]],MATCH(INDEX(#REF!,A211),salaries_academic[category],0),3)&gt;0),$B$149,""),"")</f>
        <v/>
      </c>
    </row>
    <row r="212" spans="1:26" outlineLevel="1" x14ac:dyDescent="0.35">
      <c r="A212" s="113">
        <v>5</v>
      </c>
      <c r="B212" s="113" t="str">
        <f t="array" ref="B212">IFERROR(INDEX(personnel_ac_notes[[#This Row],[Exceeding nr months]:[Costs specified]],1,MATCH(TRUE,LEN(personnel_ac_notes[[#This Row],[Exceeding nr months]:[Costs specified]])&gt;0,0)),"")</f>
        <v/>
      </c>
      <c r="C212" s="113" t="str">
        <f>IFERROR(IF(INDEX(#REF!,A212)&gt;Max_project_duration,$B$128,""),"")</f>
        <v/>
      </c>
      <c r="D212" s="113" t="str">
        <f>IFERROR(IF(AND(LEN(INDEX(#REF!,A212))+LEN(INDEX(#REF!,A212))+LEN(INDEX(#REF!,A212))&gt;0,LEN(INDEX(#REF!,A212-1))+LEN(INDEX(#REF!,A212-1))+LEN(INDEX(#REF!,A212-1))=0),$B$127,""),"")</f>
        <v/>
      </c>
      <c r="E212" s="113" t="str">
        <f>IF(AND(NOT(ISBLANK(INDEX(#REF!,A212))),OR(ISBLANK(INDEX(#REF!,A212)),ISBLANK(INDEX(#REF!,A212)))),VLOOKUP(INDEX(#REF!,A212),salaries_academic[],2,FALSE),"")</f>
        <v/>
      </c>
      <c r="F212" s="113" t="str">
        <f>IFERROR(IF(COUNTIF(INDEX(#REF!,A212),"*- PhD*")&gt;0,IF(INDEX(#REF!,A212)*INDEX(#REF!,A212)&lt;pers_PhD_min_months,$B$129,""),""),"")</f>
        <v/>
      </c>
      <c r="G212" s="113" t="str">
        <f>IFERROR(IF(COUNTIF(INDEX(#REF!,$A212),"*- PhD*")&gt;0,IF(INDEX(#REF!,$A212)*INDEX(#REF!,$A212)&gt;pers_PhD_max_months,$B$130,""),""),"")</f>
        <v/>
      </c>
      <c r="H212" s="113" t="str">
        <f>IFERROR(IF(COUNTIF(INDEX(#REF!,A212),"*year*")&gt;0,IF(INDEX(#REF!,A212)*INDEX(#REF!,A212)&lt;pers_3yPhD_min_months,$B$131,""),""),"")</f>
        <v/>
      </c>
      <c r="I212" s="113" t="str">
        <f>IFERROR(IF(COUNTIF(INDEX(#REF!,A212),"*PDEng*")&gt;0,IF(OR(IFERROR(MATCH("*PhD*",#REF!,0),0)&gt;0,IFERROR(MATCH("*PostDoc*",#REF!,0),0)&gt;0),"",$B$132),""),"")</f>
        <v/>
      </c>
      <c r="J212" s="113" t="str">
        <f>IFERROR(IF(COUNTIF(INDEX(#REF!,A212),"*PDEng*")&gt;0,IF(INDEX(#REF!,A212)*INDEX(#REF!,A212)&gt;pers_PDEng_max_months,$B$133,""),""),"")</f>
        <v/>
      </c>
      <c r="K212" s="113" t="str">
        <f>IFERROR(IF(COUNTIF(INDEX(#REF!,A212),"*PostDoc*")&gt;0,IF(INDEX(#REF!,A212)*INDEX(#REF!,A212)&lt;pers_PD_min_months,$B$134,""),""),"")</f>
        <v/>
      </c>
      <c r="L212" s="113" t="str">
        <f>IFERROR(IF(COUNTIF(INDEX(#REF!,A212),"*PostDoc*")&gt;0,IF(INDEX(#REF!,A212)*INDEX(#REF!,A212)&gt;pers_PD_max_months,$B$135,""),""),"")</f>
        <v/>
      </c>
      <c r="M212" s="113" t="str">
        <f>IFERROR(IF(COUNTIF(INDEX(#REF!,A212),"*Non-scientific*")&gt;0,IF(OR(IFERROR(MATCH("*PhD*",#REF!,0),0)&gt;0,IFERROR(MATCH("*PostDoc*",#REF!,0),0)&gt;0),"",$B$136),""),"")</f>
        <v/>
      </c>
      <c r="N212" s="113" t="str">
        <f>IFERROR(IF(COUNTIF(INDEX(#REF!,A212),"*Non-scientific*")&gt;0,IF(Total_NSP&gt;pers_max_NSP,$B$137,""),""),"")</f>
        <v/>
      </c>
      <c r="O212" s="113" t="str">
        <f>IFERROR(IF(COUNTIF(INDEX(#REF!,A212),"*Non-scientific*")&gt;0,IF(INDEX(#REF!,A212)*INDEX(#REF!,A212)&lt;pers_NSP_min_months,$B$138,""),""),"")</f>
        <v/>
      </c>
      <c r="P212" s="113" t="str">
        <f>IFERROR(IF(COUNTIF(INDEX(#REF!,A212),"*Non-scientific*")&gt;0,IF(INDEX(#REF!,A212)*INDEX(#REF!,A212)&gt;pers_NSP_max_months,$B$139,""),""),"")</f>
        <v/>
      </c>
      <c r="Q212" s="113" t="str">
        <f>IFERROR(IF(COUNTIF(INDEX(#REF!,A212),"*Other scientific*")&gt;0,IF(OR(IFERROR(MATCH("*PhD*",#REF!,0),0)&gt;0,IFERROR(MATCH("*PostDoc*",#REF!,0),0)&gt;0),"",$B$140),""),"")</f>
        <v/>
      </c>
      <c r="R212" s="113" t="str">
        <f>IFERROR(IF(COUNTIF(INDEX(#REF!,A212),"*Other scientific*")&gt;0,IF(Total_OSP&gt;pers_max_OSP,$B$141,""),""),"")</f>
        <v/>
      </c>
      <c r="S212" s="113" t="str">
        <f>IFERROR(IF(COUNTIF(INDEX(#REF!,A212),"*Other scientific*")&gt;0,IF(INDEX(#REF!,A212)*INDEX(#REF!,A212)&lt;pers_OSP_min_months,$B$142,""),""),"")</f>
        <v/>
      </c>
      <c r="T212" s="113" t="str">
        <f>IFERROR(IF(COUNTIF(INDEX(#REF!,A212),"*Other scientific*")&gt;0,IF(INDEX(#REF!,A212)*INDEX(#REF!,A212)&gt;pers_OSP_max_months,$B$143,""),""),"")</f>
        <v/>
      </c>
      <c r="U212" s="113" t="str">
        <f>IFERROR(IF(COUNTIF(INDEX(#REF!,A212),"*leave*")&gt;0,IF(Total_Research_leave&gt;pers_leave_maxperc*Total_NWO_funding,$B$144,""),""),"")</f>
        <v/>
      </c>
      <c r="V212" s="113" t="str">
        <f>IFERROR(IF(COUNTIF(INDEX(#REF!,A212),"*leave*")&gt;0,IF(Research_leave_FTE_months&gt;pers_leave_maxduration,$B$145,""),""),"")</f>
        <v/>
      </c>
      <c r="W212" s="113" t="str">
        <f>IFERROR(IF(AND(INDEX(#REF!,A212)=0,INDEX(salaries_academic[[category]:[1]],MATCH(INDEX(#REF!,A212),salaries_academic[category],0),3)=0),$B$148,""),"")</f>
        <v/>
      </c>
      <c r="X212" s="113" t="e">
        <f>IF(AND(organisation_type="yes",INDEX(#REF!,A212,1)&lt;&gt;"",ISBLANK(INDEX(#REF!,A212,1))),$B$146,"")</f>
        <v>#REF!</v>
      </c>
      <c r="Y212" s="113" t="e">
        <f>IF(AND(organisation_name="yes",INDEX(#REF!,A212,1)&lt;&gt;"",ISBLANK(INDEX(#REF!,A212,1))),$B$147,"")</f>
        <v>#REF!</v>
      </c>
      <c r="Z212" s="113" t="str">
        <f>IFERROR(IF(AND(INDEX(#REF!,A212)&gt;0,INDEX(salaries_academic[[category]:[1]],MATCH(INDEX(#REF!,A212),salaries_academic[category],0),3)&gt;0),$B$149,""),"")</f>
        <v/>
      </c>
    </row>
    <row r="213" spans="1:26" outlineLevel="1" x14ac:dyDescent="0.35">
      <c r="A213" s="113">
        <v>6</v>
      </c>
      <c r="B213" s="113" t="str">
        <f t="array" ref="B213">IFERROR(INDEX(personnel_ac_notes[[#This Row],[Exceeding nr months]:[Costs specified]],1,MATCH(TRUE,LEN(personnel_ac_notes[[#This Row],[Exceeding nr months]:[Costs specified]])&gt;0,0)),"")</f>
        <v/>
      </c>
      <c r="C213" s="113" t="str">
        <f>IFERROR(IF(INDEX(#REF!,A213)&gt;Max_project_duration,$B$128,""),"")</f>
        <v/>
      </c>
      <c r="D213" s="113" t="str">
        <f>IFERROR(IF(AND(LEN(INDEX(#REF!,A213))+LEN(INDEX(#REF!,A213))+LEN(INDEX(#REF!,A213))&gt;0,LEN(INDEX(#REF!,A213-1))+LEN(INDEX(#REF!,A213-1))+LEN(INDEX(#REF!,A213-1))=0),$B$127,""),"")</f>
        <v/>
      </c>
      <c r="E213" s="113" t="str">
        <f>IF(AND(NOT(ISBLANK(INDEX(#REF!,A213))),OR(ISBLANK(INDEX(#REF!,A213)),ISBLANK(INDEX(#REF!,A213)))),VLOOKUP(INDEX(#REF!,A213),salaries_academic[],2,FALSE),"")</f>
        <v/>
      </c>
      <c r="F213" s="113" t="str">
        <f>IFERROR(IF(COUNTIF(INDEX(#REF!,A213),"*- PhD*")&gt;0,IF(INDEX(#REF!,A213)*INDEX(#REF!,A213)&lt;pers_PhD_min_months,$B$129,""),""),"")</f>
        <v/>
      </c>
      <c r="G213" s="113" t="str">
        <f>IFERROR(IF(COUNTIF(INDEX(#REF!,$A213),"*- PhD*")&gt;0,IF(INDEX(#REF!,$A213)*INDEX(#REF!,$A213)&gt;pers_PhD_max_months,$B$130,""),""),"")</f>
        <v/>
      </c>
      <c r="H213" s="113" t="str">
        <f>IFERROR(IF(COUNTIF(INDEX(#REF!,A213),"*year*")&gt;0,IF(INDEX(#REF!,A213)*INDEX(#REF!,A213)&lt;pers_3yPhD_min_months,$B$131,""),""),"")</f>
        <v/>
      </c>
      <c r="I213" s="113" t="str">
        <f>IFERROR(IF(COUNTIF(INDEX(#REF!,A213),"*PDEng*")&gt;0,IF(OR(IFERROR(MATCH("*PhD*",#REF!,0),0)&gt;0,IFERROR(MATCH("*PostDoc*",#REF!,0),0)&gt;0),"",$B$132),""),"")</f>
        <v/>
      </c>
      <c r="J213" s="113" t="str">
        <f>IFERROR(IF(COUNTIF(INDEX(#REF!,A213),"*PDEng*")&gt;0,IF(INDEX(#REF!,A213)*INDEX(#REF!,A213)&gt;pers_PDEng_max_months,$B$133,""),""),"")</f>
        <v/>
      </c>
      <c r="K213" s="113" t="str">
        <f>IFERROR(IF(COUNTIF(INDEX(#REF!,A213),"*PostDoc*")&gt;0,IF(INDEX(#REF!,A213)*INDEX(#REF!,A213)&lt;pers_PD_min_months,$B$134,""),""),"")</f>
        <v/>
      </c>
      <c r="L213" s="113" t="str">
        <f>IFERROR(IF(COUNTIF(INDEX(#REF!,A213),"*PostDoc*")&gt;0,IF(INDEX(#REF!,A213)*INDEX(#REF!,A213)&gt;pers_PD_max_months,$B$135,""),""),"")</f>
        <v/>
      </c>
      <c r="M213" s="113" t="str">
        <f>IFERROR(IF(COUNTIF(INDEX(#REF!,A213),"*Non-scientific*")&gt;0,IF(OR(IFERROR(MATCH("*PhD*",#REF!,0),0)&gt;0,IFERROR(MATCH("*PostDoc*",#REF!,0),0)&gt;0),"",$B$136),""),"")</f>
        <v/>
      </c>
      <c r="N213" s="113" t="str">
        <f>IFERROR(IF(COUNTIF(INDEX(#REF!,A213),"*Non-scientific*")&gt;0,IF(Total_NSP&gt;pers_max_NSP,$B$137,""),""),"")</f>
        <v/>
      </c>
      <c r="O213" s="113" t="str">
        <f>IFERROR(IF(COUNTIF(INDEX(#REF!,A213),"*Non-scientific*")&gt;0,IF(INDEX(#REF!,A213)*INDEX(#REF!,A213)&lt;pers_NSP_min_months,$B$138,""),""),"")</f>
        <v/>
      </c>
      <c r="P213" s="113" t="str">
        <f>IFERROR(IF(COUNTIF(INDEX(#REF!,A213),"*Non-scientific*")&gt;0,IF(INDEX(#REF!,A213)*INDEX(#REF!,A213)&gt;pers_NSP_max_months,$B$139,""),""),"")</f>
        <v/>
      </c>
      <c r="Q213" s="113" t="str">
        <f>IFERROR(IF(COUNTIF(INDEX(#REF!,A213),"*Other scientific*")&gt;0,IF(OR(IFERROR(MATCH("*PhD*",#REF!,0),0)&gt;0,IFERROR(MATCH("*PostDoc*",#REF!,0),0)&gt;0),"",$B$140),""),"")</f>
        <v/>
      </c>
      <c r="R213" s="113" t="str">
        <f>IFERROR(IF(COUNTIF(INDEX(#REF!,A213),"*Other scientific*")&gt;0,IF(Total_OSP&gt;pers_max_OSP,$B$141,""),""),"")</f>
        <v/>
      </c>
      <c r="S213" s="113" t="str">
        <f>IFERROR(IF(COUNTIF(INDEX(#REF!,A213),"*Other scientific*")&gt;0,IF(INDEX(#REF!,A213)*INDEX(#REF!,A213)&lt;pers_OSP_min_months,$B$142,""),""),"")</f>
        <v/>
      </c>
      <c r="T213" s="113" t="str">
        <f>IFERROR(IF(COUNTIF(INDEX(#REF!,A213),"*Other scientific*")&gt;0,IF(INDEX(#REF!,A213)*INDEX(#REF!,A213)&gt;pers_OSP_max_months,$B$143,""),""),"")</f>
        <v/>
      </c>
      <c r="U213" s="113" t="str">
        <f>IFERROR(IF(COUNTIF(INDEX(#REF!,A213),"*leave*")&gt;0,IF(Total_Research_leave&gt;pers_leave_maxperc*Total_NWO_funding,$B$144,""),""),"")</f>
        <v/>
      </c>
      <c r="V213" s="113" t="str">
        <f>IFERROR(IF(COUNTIF(INDEX(#REF!,A213),"*leave*")&gt;0,IF(Research_leave_FTE_months&gt;pers_leave_maxduration,$B$145,""),""),"")</f>
        <v/>
      </c>
      <c r="W213" s="113" t="str">
        <f>IFERROR(IF(AND(INDEX(#REF!,A213)=0,INDEX(salaries_academic[[category]:[1]],MATCH(INDEX(#REF!,A213),salaries_academic[category],0),3)=0),$B$148,""),"")</f>
        <v/>
      </c>
      <c r="X213" s="113" t="e">
        <f>IF(AND(organisation_type="yes",INDEX(#REF!,A213,1)&lt;&gt;"",ISBLANK(INDEX(#REF!,A213,1))),$B$146,"")</f>
        <v>#REF!</v>
      </c>
      <c r="Y213" s="113" t="e">
        <f>IF(AND(organisation_name="yes",INDEX(#REF!,A213,1)&lt;&gt;"",ISBLANK(INDEX(#REF!,A213,1))),$B$147,"")</f>
        <v>#REF!</v>
      </c>
      <c r="Z213" s="113" t="str">
        <f>IFERROR(IF(AND(INDEX(#REF!,A213)&gt;0,INDEX(salaries_academic[[category]:[1]],MATCH(INDEX(#REF!,A213),salaries_academic[category],0),3)&gt;0),$B$149,""),"")</f>
        <v/>
      </c>
    </row>
    <row r="214" spans="1:26" outlineLevel="1" x14ac:dyDescent="0.35">
      <c r="A214" s="113">
        <v>7</v>
      </c>
      <c r="B214" s="113" t="str">
        <f t="array" ref="B214">IFERROR(INDEX(personnel_ac_notes[[#This Row],[Exceeding nr months]:[Costs specified]],1,MATCH(TRUE,LEN(personnel_ac_notes[[#This Row],[Exceeding nr months]:[Costs specified]])&gt;0,0)),"")</f>
        <v/>
      </c>
      <c r="C214" s="113" t="str">
        <f>IFERROR(IF(INDEX(#REF!,A214)&gt;Max_project_duration,$B$128,""),"")</f>
        <v/>
      </c>
      <c r="D214" s="113" t="str">
        <f>IFERROR(IF(AND(LEN(INDEX(#REF!,A214))+LEN(INDEX(#REF!,A214))+LEN(INDEX(#REF!,A214))&gt;0,LEN(INDEX(#REF!,A214-1))+LEN(INDEX(#REF!,A214-1))+LEN(INDEX(#REF!,A214-1))=0),$B$127,""),"")</f>
        <v/>
      </c>
      <c r="E214" s="113" t="str">
        <f>IF(AND(NOT(ISBLANK(INDEX(#REF!,A214))),OR(ISBLANK(INDEX(#REF!,A214)),ISBLANK(INDEX(#REF!,A214)))),VLOOKUP(INDEX(#REF!,A214),salaries_academic[],2,FALSE),"")</f>
        <v/>
      </c>
      <c r="F214" s="113" t="str">
        <f>IFERROR(IF(COUNTIF(INDEX(#REF!,A214),"*- PhD*")&gt;0,IF(INDEX(#REF!,A214)*INDEX(#REF!,A214)&lt;pers_PhD_min_months,$B$129,""),""),"")</f>
        <v/>
      </c>
      <c r="G214" s="113" t="str">
        <f>IFERROR(IF(COUNTIF(INDEX(#REF!,$A214),"*- PhD*")&gt;0,IF(INDEX(#REF!,$A214)*INDEX(#REF!,$A214)&gt;pers_PhD_max_months,$B$130,""),""),"")</f>
        <v/>
      </c>
      <c r="H214" s="113" t="str">
        <f>IFERROR(IF(COUNTIF(INDEX(#REF!,A214),"*year*")&gt;0,IF(INDEX(#REF!,A214)*INDEX(#REF!,A214)&lt;pers_3yPhD_min_months,$B$131,""),""),"")</f>
        <v/>
      </c>
      <c r="I214" s="113" t="str">
        <f>IFERROR(IF(COUNTIF(INDEX(#REF!,A214),"*PDEng*")&gt;0,IF(OR(IFERROR(MATCH("*PhD*",#REF!,0),0)&gt;0,IFERROR(MATCH("*PostDoc*",#REF!,0),0)&gt;0),"",$B$132),""),"")</f>
        <v/>
      </c>
      <c r="J214" s="113" t="str">
        <f>IFERROR(IF(COUNTIF(INDEX(#REF!,A214),"*PDEng*")&gt;0,IF(INDEX(#REF!,A214)*INDEX(#REF!,A214)&gt;pers_PDEng_max_months,$B$133,""),""),"")</f>
        <v/>
      </c>
      <c r="K214" s="113" t="str">
        <f>IFERROR(IF(COUNTIF(INDEX(#REF!,A214),"*PostDoc*")&gt;0,IF(INDEX(#REF!,A214)*INDEX(#REF!,A214)&lt;pers_PD_min_months,$B$134,""),""),"")</f>
        <v/>
      </c>
      <c r="L214" s="113" t="str">
        <f>IFERROR(IF(COUNTIF(INDEX(#REF!,A214),"*PostDoc*")&gt;0,IF(INDEX(#REF!,A214)*INDEX(#REF!,A214)&gt;pers_PD_max_months,$B$135,""),""),"")</f>
        <v/>
      </c>
      <c r="M214" s="113" t="str">
        <f>IFERROR(IF(COUNTIF(INDEX(#REF!,A214),"*Non-scientific*")&gt;0,IF(OR(IFERROR(MATCH("*PhD*",#REF!,0),0)&gt;0,IFERROR(MATCH("*PostDoc*",#REF!,0),0)&gt;0),"",$B$136),""),"")</f>
        <v/>
      </c>
      <c r="N214" s="113" t="str">
        <f>IFERROR(IF(COUNTIF(INDEX(#REF!,A214),"*Non-scientific*")&gt;0,IF(Total_NSP&gt;pers_max_NSP,$B$137,""),""),"")</f>
        <v/>
      </c>
      <c r="O214" s="113" t="str">
        <f>IFERROR(IF(COUNTIF(INDEX(#REF!,A214),"*Non-scientific*")&gt;0,IF(INDEX(#REF!,A214)*INDEX(#REF!,A214)&lt;pers_NSP_min_months,$B$138,""),""),"")</f>
        <v/>
      </c>
      <c r="P214" s="113" t="str">
        <f>IFERROR(IF(COUNTIF(INDEX(#REF!,A214),"*Non-scientific*")&gt;0,IF(INDEX(#REF!,A214)*INDEX(#REF!,A214)&gt;pers_NSP_max_months,$B$139,""),""),"")</f>
        <v/>
      </c>
      <c r="Q214" s="113" t="str">
        <f>IFERROR(IF(COUNTIF(INDEX(#REF!,A214),"*Other scientific*")&gt;0,IF(OR(IFERROR(MATCH("*PhD*",#REF!,0),0)&gt;0,IFERROR(MATCH("*PostDoc*",#REF!,0),0)&gt;0),"",$B$140),""),"")</f>
        <v/>
      </c>
      <c r="R214" s="113" t="str">
        <f>IFERROR(IF(COUNTIF(INDEX(#REF!,A214),"*Other scientific*")&gt;0,IF(Total_OSP&gt;pers_max_OSP,$B$141,""),""),"")</f>
        <v/>
      </c>
      <c r="S214" s="113" t="str">
        <f>IFERROR(IF(COUNTIF(INDEX(#REF!,A214),"*Other scientific*")&gt;0,IF(INDEX(#REF!,A214)*INDEX(#REF!,A214)&lt;pers_OSP_min_months,$B$142,""),""),"")</f>
        <v/>
      </c>
      <c r="T214" s="113" t="str">
        <f>IFERROR(IF(COUNTIF(INDEX(#REF!,A214),"*Other scientific*")&gt;0,IF(INDEX(#REF!,A214)*INDEX(#REF!,A214)&gt;pers_OSP_max_months,$B$143,""),""),"")</f>
        <v/>
      </c>
      <c r="U214" s="113" t="str">
        <f>IFERROR(IF(COUNTIF(INDEX(#REF!,A214),"*leave*")&gt;0,IF(Total_Research_leave&gt;pers_leave_maxperc*Total_NWO_funding,$B$144,""),""),"")</f>
        <v/>
      </c>
      <c r="V214" s="113" t="str">
        <f>IFERROR(IF(COUNTIF(INDEX(#REF!,A214),"*leave*")&gt;0,IF(Research_leave_FTE_months&gt;pers_leave_maxduration,$B$145,""),""),"")</f>
        <v/>
      </c>
      <c r="W214" s="113" t="str">
        <f>IFERROR(IF(AND(INDEX(#REF!,A214)=0,INDEX(salaries_academic[[category]:[1]],MATCH(INDEX(#REF!,A214),salaries_academic[category],0),3)=0),$B$148,""),"")</f>
        <v/>
      </c>
      <c r="X214" s="113" t="e">
        <f>IF(AND(organisation_type="yes",INDEX(#REF!,A214,1)&lt;&gt;"",ISBLANK(INDEX(#REF!,A214,1))),$B$146,"")</f>
        <v>#REF!</v>
      </c>
      <c r="Y214" s="113" t="e">
        <f>IF(AND(organisation_name="yes",INDEX(#REF!,A214,1)&lt;&gt;"",ISBLANK(INDEX(#REF!,A214,1))),$B$147,"")</f>
        <v>#REF!</v>
      </c>
      <c r="Z214" s="113" t="str">
        <f>IFERROR(IF(AND(INDEX(#REF!,A214)&gt;0,INDEX(salaries_academic[[category]:[1]],MATCH(INDEX(#REF!,A214),salaries_academic[category],0),3)&gt;0),$B$149,""),"")</f>
        <v/>
      </c>
    </row>
    <row r="215" spans="1:26" outlineLevel="1" x14ac:dyDescent="0.35">
      <c r="A215" s="113">
        <v>8</v>
      </c>
      <c r="B215" s="113" t="str">
        <f t="array" ref="B215">IFERROR(INDEX(personnel_ac_notes[[#This Row],[Exceeding nr months]:[Costs specified]],1,MATCH(TRUE,LEN(personnel_ac_notes[[#This Row],[Exceeding nr months]:[Costs specified]])&gt;0,0)),"")</f>
        <v/>
      </c>
      <c r="C215" s="113" t="str">
        <f>IFERROR(IF(INDEX(#REF!,A215)&gt;Max_project_duration,$B$128,""),"")</f>
        <v/>
      </c>
      <c r="D215" s="113" t="str">
        <f>IFERROR(IF(AND(LEN(INDEX(#REF!,A215))+LEN(INDEX(#REF!,A215))+LEN(INDEX(#REF!,A215))&gt;0,LEN(INDEX(#REF!,A215-1))+LEN(INDEX(#REF!,A215-1))+LEN(INDEX(#REF!,A215-1))=0),$B$127,""),"")</f>
        <v/>
      </c>
      <c r="E215" s="113" t="str">
        <f>IF(AND(NOT(ISBLANK(INDEX(#REF!,A215))),OR(ISBLANK(INDEX(#REF!,A215)),ISBLANK(INDEX(#REF!,A215)))),VLOOKUP(INDEX(#REF!,A215),salaries_academic[],2,FALSE),"")</f>
        <v/>
      </c>
      <c r="F215" s="113" t="str">
        <f>IFERROR(IF(COUNTIF(INDEX(#REF!,A215),"*- PhD*")&gt;0,IF(INDEX(#REF!,A215)*INDEX(#REF!,A215)&lt;pers_PhD_min_months,$B$129,""),""),"")</f>
        <v/>
      </c>
      <c r="G215" s="113" t="str">
        <f>IFERROR(IF(COUNTIF(INDEX(#REF!,$A215),"*- PhD*")&gt;0,IF(INDEX(#REF!,$A215)*INDEX(#REF!,$A215)&gt;pers_PhD_max_months,$B$130,""),""),"")</f>
        <v/>
      </c>
      <c r="H215" s="113" t="str">
        <f>IFERROR(IF(COUNTIF(INDEX(#REF!,A215),"*year*")&gt;0,IF(INDEX(#REF!,A215)*INDEX(#REF!,A215)&lt;pers_3yPhD_min_months,$B$131,""),""),"")</f>
        <v/>
      </c>
      <c r="I215" s="113" t="str">
        <f>IFERROR(IF(COUNTIF(INDEX(#REF!,A215),"*PDEng*")&gt;0,IF(OR(IFERROR(MATCH("*PhD*",#REF!,0),0)&gt;0,IFERROR(MATCH("*PostDoc*",#REF!,0),0)&gt;0),"",$B$132),""),"")</f>
        <v/>
      </c>
      <c r="J215" s="113" t="str">
        <f>IFERROR(IF(COUNTIF(INDEX(#REF!,A215),"*PDEng*")&gt;0,IF(INDEX(#REF!,A215)*INDEX(#REF!,A215)&gt;pers_PDEng_max_months,$B$133,""),""),"")</f>
        <v/>
      </c>
      <c r="K215" s="113" t="str">
        <f>IFERROR(IF(COUNTIF(INDEX(#REF!,A215),"*PostDoc*")&gt;0,IF(INDEX(#REF!,A215)*INDEX(#REF!,A215)&lt;pers_PD_min_months,$B$134,""),""),"")</f>
        <v/>
      </c>
      <c r="L215" s="113" t="str">
        <f>IFERROR(IF(COUNTIF(INDEX(#REF!,A215),"*PostDoc*")&gt;0,IF(INDEX(#REF!,A215)*INDEX(#REF!,A215)&gt;pers_PD_max_months,$B$135,""),""),"")</f>
        <v/>
      </c>
      <c r="M215" s="113" t="str">
        <f>IFERROR(IF(COUNTIF(INDEX(#REF!,A215),"*Non-scientific*")&gt;0,IF(OR(IFERROR(MATCH("*PhD*",#REF!,0),0)&gt;0,IFERROR(MATCH("*PostDoc*",#REF!,0),0)&gt;0),"",$B$136),""),"")</f>
        <v/>
      </c>
      <c r="N215" s="113" t="str">
        <f>IFERROR(IF(COUNTIF(INDEX(#REF!,A215),"*Non-scientific*")&gt;0,IF(Total_NSP&gt;pers_max_NSP,$B$137,""),""),"")</f>
        <v/>
      </c>
      <c r="O215" s="113" t="str">
        <f>IFERROR(IF(COUNTIF(INDEX(#REF!,A215),"*Non-scientific*")&gt;0,IF(INDEX(#REF!,A215)*INDEX(#REF!,A215)&lt;pers_NSP_min_months,$B$138,""),""),"")</f>
        <v/>
      </c>
      <c r="P215" s="113" t="str">
        <f>IFERROR(IF(COUNTIF(INDEX(#REF!,A215),"*Non-scientific*")&gt;0,IF(INDEX(#REF!,A215)*INDEX(#REF!,A215)&gt;pers_NSP_max_months,$B$139,""),""),"")</f>
        <v/>
      </c>
      <c r="Q215" s="113" t="str">
        <f>IFERROR(IF(COUNTIF(INDEX(#REF!,A215),"*Other scientific*")&gt;0,IF(OR(IFERROR(MATCH("*PhD*",#REF!,0),0)&gt;0,IFERROR(MATCH("*PostDoc*",#REF!,0),0)&gt;0),"",$B$140),""),"")</f>
        <v/>
      </c>
      <c r="R215" s="113" t="str">
        <f>IFERROR(IF(COUNTIF(INDEX(#REF!,A215),"*Other scientific*")&gt;0,IF(Total_OSP&gt;pers_max_OSP,$B$141,""),""),"")</f>
        <v/>
      </c>
      <c r="S215" s="113" t="str">
        <f>IFERROR(IF(COUNTIF(INDEX(#REF!,A215),"*Other scientific*")&gt;0,IF(INDEX(#REF!,A215)*INDEX(#REF!,A215)&lt;pers_OSP_min_months,$B$142,""),""),"")</f>
        <v/>
      </c>
      <c r="T215" s="113" t="str">
        <f>IFERROR(IF(COUNTIF(INDEX(#REF!,A215),"*Other scientific*")&gt;0,IF(INDEX(#REF!,A215)*INDEX(#REF!,A215)&gt;pers_OSP_max_months,$B$143,""),""),"")</f>
        <v/>
      </c>
      <c r="U215" s="113" t="str">
        <f>IFERROR(IF(COUNTIF(INDEX(#REF!,A215),"*leave*")&gt;0,IF(Total_Research_leave&gt;pers_leave_maxperc*Total_NWO_funding,$B$144,""),""),"")</f>
        <v/>
      </c>
      <c r="V215" s="113" t="str">
        <f>IFERROR(IF(COUNTIF(INDEX(#REF!,A215),"*leave*")&gt;0,IF(Research_leave_FTE_months&gt;pers_leave_maxduration,$B$145,""),""),"")</f>
        <v/>
      </c>
      <c r="W215" s="113" t="str">
        <f>IFERROR(IF(AND(INDEX(#REF!,A215)=0,INDEX(salaries_academic[[category]:[1]],MATCH(INDEX(#REF!,A215),salaries_academic[category],0),3)=0),$B$148,""),"")</f>
        <v/>
      </c>
      <c r="X215" s="113" t="e">
        <f>IF(AND(organisation_type="yes",INDEX(#REF!,A215,1)&lt;&gt;"",ISBLANK(INDEX(#REF!,A215,1))),$B$146,"")</f>
        <v>#REF!</v>
      </c>
      <c r="Y215" s="113" t="e">
        <f>IF(AND(organisation_name="yes",INDEX(#REF!,A215,1)&lt;&gt;"",ISBLANK(INDEX(#REF!,A215,1))),$B$147,"")</f>
        <v>#REF!</v>
      </c>
      <c r="Z215" s="113" t="str">
        <f>IFERROR(IF(AND(INDEX(#REF!,A215)&gt;0,INDEX(salaries_academic[[category]:[1]],MATCH(INDEX(#REF!,A215),salaries_academic[category],0),3)&gt;0),$B$149,""),"")</f>
        <v/>
      </c>
    </row>
    <row r="216" spans="1:26" outlineLevel="1" x14ac:dyDescent="0.35">
      <c r="A216" s="113">
        <v>9</v>
      </c>
      <c r="B216" s="113" t="str">
        <f t="array" ref="B216">IFERROR(INDEX(personnel_ac_notes[[#This Row],[Exceeding nr months]:[Costs specified]],1,MATCH(TRUE,LEN(personnel_ac_notes[[#This Row],[Exceeding nr months]:[Costs specified]])&gt;0,0)),"")</f>
        <v/>
      </c>
      <c r="C216" s="113" t="str">
        <f>IFERROR(IF(INDEX(#REF!,A216)&gt;Max_project_duration,$B$128,""),"")</f>
        <v/>
      </c>
      <c r="D216" s="113" t="str">
        <f>IFERROR(IF(AND(LEN(INDEX(#REF!,A216))+LEN(INDEX(#REF!,A216))+LEN(INDEX(#REF!,A216))&gt;0,LEN(INDEX(#REF!,A216-1))+LEN(INDEX(#REF!,A216-1))+LEN(INDEX(#REF!,A216-1))=0),$B$127,""),"")</f>
        <v/>
      </c>
      <c r="E216" s="113" t="str">
        <f>IF(AND(NOT(ISBLANK(INDEX(#REF!,A216))),OR(ISBLANK(INDEX(#REF!,A216)),ISBLANK(INDEX(#REF!,A216)))),VLOOKUP(INDEX(#REF!,A216),salaries_academic[],2,FALSE),"")</f>
        <v/>
      </c>
      <c r="F216" s="113" t="str">
        <f>IFERROR(IF(COUNTIF(INDEX(#REF!,A216),"*- PhD*")&gt;0,IF(INDEX(#REF!,A216)*INDEX(#REF!,A216)&lt;pers_PhD_min_months,$B$129,""),""),"")</f>
        <v/>
      </c>
      <c r="G216" s="113" t="str">
        <f>IFERROR(IF(COUNTIF(INDEX(#REF!,$A216),"*- PhD*")&gt;0,IF(INDEX(#REF!,$A216)*INDEX(#REF!,$A216)&gt;pers_PhD_max_months,$B$130,""),""),"")</f>
        <v/>
      </c>
      <c r="H216" s="113" t="str">
        <f>IFERROR(IF(COUNTIF(INDEX(#REF!,A216),"*year*")&gt;0,IF(INDEX(#REF!,A216)*INDEX(#REF!,A216)&lt;pers_3yPhD_min_months,$B$131,""),""),"")</f>
        <v/>
      </c>
      <c r="I216" s="113" t="str">
        <f>IFERROR(IF(COUNTIF(INDEX(#REF!,A216),"*PDEng*")&gt;0,IF(OR(IFERROR(MATCH("*PhD*",#REF!,0),0)&gt;0,IFERROR(MATCH("*PostDoc*",#REF!,0),0)&gt;0),"",$B$132),""),"")</f>
        <v/>
      </c>
      <c r="J216" s="113" t="str">
        <f>IFERROR(IF(COUNTIF(INDEX(#REF!,A216),"*PDEng*")&gt;0,IF(INDEX(#REF!,A216)*INDEX(#REF!,A216)&gt;pers_PDEng_max_months,$B$133,""),""),"")</f>
        <v/>
      </c>
      <c r="K216" s="113" t="str">
        <f>IFERROR(IF(COUNTIF(INDEX(#REF!,A216),"*PostDoc*")&gt;0,IF(INDEX(#REF!,A216)*INDEX(#REF!,A216)&lt;pers_PD_min_months,$B$134,""),""),"")</f>
        <v/>
      </c>
      <c r="L216" s="113" t="str">
        <f>IFERROR(IF(COUNTIF(INDEX(#REF!,A216),"*PostDoc*")&gt;0,IF(INDEX(#REF!,A216)*INDEX(#REF!,A216)&gt;pers_PD_max_months,$B$135,""),""),"")</f>
        <v/>
      </c>
      <c r="M216" s="113" t="str">
        <f>IFERROR(IF(COUNTIF(INDEX(#REF!,A216),"*Non-scientific*")&gt;0,IF(OR(IFERROR(MATCH("*PhD*",#REF!,0),0)&gt;0,IFERROR(MATCH("*PostDoc*",#REF!,0),0)&gt;0),"",$B$136),""),"")</f>
        <v/>
      </c>
      <c r="N216" s="113" t="str">
        <f>IFERROR(IF(COUNTIF(INDEX(#REF!,A216),"*Non-scientific*")&gt;0,IF(Total_NSP&gt;pers_max_NSP,$B$137,""),""),"")</f>
        <v/>
      </c>
      <c r="O216" s="113" t="str">
        <f>IFERROR(IF(COUNTIF(INDEX(#REF!,A216),"*Non-scientific*")&gt;0,IF(INDEX(#REF!,A216)*INDEX(#REF!,A216)&lt;pers_NSP_min_months,$B$138,""),""),"")</f>
        <v/>
      </c>
      <c r="P216" s="113" t="str">
        <f>IFERROR(IF(COUNTIF(INDEX(#REF!,A216),"*Non-scientific*")&gt;0,IF(INDEX(#REF!,A216)*INDEX(#REF!,A216)&gt;pers_NSP_max_months,$B$139,""),""),"")</f>
        <v/>
      </c>
      <c r="Q216" s="113" t="str">
        <f>IFERROR(IF(COUNTIF(INDEX(#REF!,A216),"*Other scientific*")&gt;0,IF(OR(IFERROR(MATCH("*PhD*",#REF!,0),0)&gt;0,IFERROR(MATCH("*PostDoc*",#REF!,0),0)&gt;0),"",$B$140),""),"")</f>
        <v/>
      </c>
      <c r="R216" s="113" t="str">
        <f>IFERROR(IF(COUNTIF(INDEX(#REF!,A216),"*Other scientific*")&gt;0,IF(Total_OSP&gt;pers_max_OSP,$B$141,""),""),"")</f>
        <v/>
      </c>
      <c r="S216" s="113" t="str">
        <f>IFERROR(IF(COUNTIF(INDEX(#REF!,A216),"*Other scientific*")&gt;0,IF(INDEX(#REF!,A216)*INDEX(#REF!,A216)&lt;pers_OSP_min_months,$B$142,""),""),"")</f>
        <v/>
      </c>
      <c r="T216" s="113" t="str">
        <f>IFERROR(IF(COUNTIF(INDEX(#REF!,A216),"*Other scientific*")&gt;0,IF(INDEX(#REF!,A216)*INDEX(#REF!,A216)&gt;pers_OSP_max_months,$B$143,""),""),"")</f>
        <v/>
      </c>
      <c r="U216" s="113" t="str">
        <f>IFERROR(IF(COUNTIF(INDEX(#REF!,A216),"*leave*")&gt;0,IF(Total_Research_leave&gt;pers_leave_maxperc*Total_NWO_funding,$B$144,""),""),"")</f>
        <v/>
      </c>
      <c r="V216" s="113" t="str">
        <f>IFERROR(IF(COUNTIF(INDEX(#REF!,A216),"*leave*")&gt;0,IF(Research_leave_FTE_months&gt;pers_leave_maxduration,$B$145,""),""),"")</f>
        <v/>
      </c>
      <c r="W216" s="113" t="str">
        <f>IFERROR(IF(AND(INDEX(#REF!,A216)=0,INDEX(salaries_academic[[category]:[1]],MATCH(INDEX(#REF!,A216),salaries_academic[category],0),3)=0),$B$148,""),"")</f>
        <v/>
      </c>
      <c r="X216" s="113" t="e">
        <f>IF(AND(organisation_type="yes",INDEX(#REF!,A216,1)&lt;&gt;"",ISBLANK(INDEX(#REF!,A216,1))),$B$146,"")</f>
        <v>#REF!</v>
      </c>
      <c r="Y216" s="113" t="e">
        <f>IF(AND(organisation_name="yes",INDEX(#REF!,A216,1)&lt;&gt;"",ISBLANK(INDEX(#REF!,A216,1))),$B$147,"")</f>
        <v>#REF!</v>
      </c>
      <c r="Z216" s="113" t="str">
        <f>IFERROR(IF(AND(INDEX(#REF!,A216)&gt;0,INDEX(salaries_academic[[category]:[1]],MATCH(INDEX(#REF!,A216),salaries_academic[category],0),3)&gt;0),$B$149,""),"")</f>
        <v/>
      </c>
    </row>
    <row r="217" spans="1:26" outlineLevel="1" x14ac:dyDescent="0.35">
      <c r="A217" s="113">
        <v>10</v>
      </c>
      <c r="B217" s="113" t="str">
        <f t="array" ref="B217">IFERROR(INDEX(personnel_ac_notes[[#This Row],[Exceeding nr months]:[Costs specified]],1,MATCH(TRUE,LEN(personnel_ac_notes[[#This Row],[Exceeding nr months]:[Costs specified]])&gt;0,0)),"")</f>
        <v/>
      </c>
      <c r="C217" s="113" t="str">
        <f>IFERROR(IF(INDEX(#REF!,A217)&gt;Max_project_duration,$B$128,""),"")</f>
        <v/>
      </c>
      <c r="D217" s="113" t="str">
        <f>IFERROR(IF(AND(LEN(INDEX(#REF!,A217))+LEN(INDEX(#REF!,A217))+LEN(INDEX(#REF!,A217))&gt;0,LEN(INDEX(#REF!,A217-1))+LEN(INDEX(#REF!,A217-1))+LEN(INDEX(#REF!,A217-1))=0),$B$127,""),"")</f>
        <v/>
      </c>
      <c r="E217" s="113" t="str">
        <f>IF(AND(NOT(ISBLANK(INDEX(#REF!,A217))),OR(ISBLANK(INDEX(#REF!,A217)),ISBLANK(INDEX(#REF!,A217)))),VLOOKUP(INDEX(#REF!,A217),salaries_academic[],2,FALSE),"")</f>
        <v/>
      </c>
      <c r="F217" s="113" t="str">
        <f>IFERROR(IF(COUNTIF(INDEX(#REF!,A217),"*- PhD*")&gt;0,IF(INDEX(#REF!,A217)*INDEX(#REF!,A217)&lt;pers_PhD_min_months,$B$129,""),""),"")</f>
        <v/>
      </c>
      <c r="G217" s="113" t="str">
        <f>IFERROR(IF(COUNTIF(INDEX(#REF!,$A217),"*- PhD*")&gt;0,IF(INDEX(#REF!,$A217)*INDEX(#REF!,$A217)&gt;pers_PhD_max_months,$B$130,""),""),"")</f>
        <v/>
      </c>
      <c r="H217" s="113" t="str">
        <f>IFERROR(IF(COUNTIF(INDEX(#REF!,A217),"*year*")&gt;0,IF(INDEX(#REF!,A217)*INDEX(#REF!,A217)&lt;pers_3yPhD_min_months,$B$131,""),""),"")</f>
        <v/>
      </c>
      <c r="I217" s="113" t="str">
        <f>IFERROR(IF(COUNTIF(INDEX(#REF!,A217),"*PDEng*")&gt;0,IF(OR(IFERROR(MATCH("*PhD*",#REF!,0),0)&gt;0,IFERROR(MATCH("*PostDoc*",#REF!,0),0)&gt;0),"",$B$132),""),"")</f>
        <v/>
      </c>
      <c r="J217" s="113" t="str">
        <f>IFERROR(IF(COUNTIF(INDEX(#REF!,A217),"*PDEng*")&gt;0,IF(INDEX(#REF!,A217)*INDEX(#REF!,A217)&gt;pers_PDEng_max_months,$B$133,""),""),"")</f>
        <v/>
      </c>
      <c r="K217" s="113" t="str">
        <f>IFERROR(IF(COUNTIF(INDEX(#REF!,A217),"*PostDoc*")&gt;0,IF(INDEX(#REF!,A217)*INDEX(#REF!,A217)&lt;pers_PD_min_months,$B$134,""),""),"")</f>
        <v/>
      </c>
      <c r="L217" s="113" t="str">
        <f>IFERROR(IF(COUNTIF(INDEX(#REF!,A217),"*PostDoc*")&gt;0,IF(INDEX(#REF!,A217)*INDEX(#REF!,A217)&gt;pers_PD_max_months,$B$135,""),""),"")</f>
        <v/>
      </c>
      <c r="M217" s="113" t="str">
        <f>IFERROR(IF(COUNTIF(INDEX(#REF!,A217),"*Non-scientific*")&gt;0,IF(OR(IFERROR(MATCH("*PhD*",#REF!,0),0)&gt;0,IFERROR(MATCH("*PostDoc*",#REF!,0),0)&gt;0),"",$B$136),""),"")</f>
        <v/>
      </c>
      <c r="N217" s="113" t="str">
        <f>IFERROR(IF(COUNTIF(INDEX(#REF!,A217),"*Non-scientific*")&gt;0,IF(Total_NSP&gt;pers_max_NSP,$B$137,""),""),"")</f>
        <v/>
      </c>
      <c r="O217" s="113" t="str">
        <f>IFERROR(IF(COUNTIF(INDEX(#REF!,A217),"*Non-scientific*")&gt;0,IF(INDEX(#REF!,A217)*INDEX(#REF!,A217)&lt;pers_NSP_min_months,$B$138,""),""),"")</f>
        <v/>
      </c>
      <c r="P217" s="113" t="str">
        <f>IFERROR(IF(COUNTIF(INDEX(#REF!,A217),"*Non-scientific*")&gt;0,IF(INDEX(#REF!,A217)*INDEX(#REF!,A217)&gt;pers_NSP_max_months,$B$139,""),""),"")</f>
        <v/>
      </c>
      <c r="Q217" s="113" t="str">
        <f>IFERROR(IF(COUNTIF(INDEX(#REF!,A217),"*Other scientific*")&gt;0,IF(OR(IFERROR(MATCH("*PhD*",#REF!,0),0)&gt;0,IFERROR(MATCH("*PostDoc*",#REF!,0),0)&gt;0),"",$B$140),""),"")</f>
        <v/>
      </c>
      <c r="R217" s="113" t="str">
        <f>IFERROR(IF(COUNTIF(INDEX(#REF!,A217),"*Other scientific*")&gt;0,IF(Total_OSP&gt;pers_max_OSP,$B$141,""),""),"")</f>
        <v/>
      </c>
      <c r="S217" s="113" t="str">
        <f>IFERROR(IF(COUNTIF(INDEX(#REF!,A217),"*Other scientific*")&gt;0,IF(INDEX(#REF!,A217)*INDEX(#REF!,A217)&lt;pers_OSP_min_months,$B$142,""),""),"")</f>
        <v/>
      </c>
      <c r="T217" s="113" t="str">
        <f>IFERROR(IF(COUNTIF(INDEX(#REF!,A217),"*Other scientific*")&gt;0,IF(INDEX(#REF!,A217)*INDEX(#REF!,A217)&gt;pers_OSP_max_months,$B$143,""),""),"")</f>
        <v/>
      </c>
      <c r="U217" s="113" t="str">
        <f>IFERROR(IF(COUNTIF(INDEX(#REF!,A217),"*leave*")&gt;0,IF(Total_Research_leave&gt;pers_leave_maxperc*Total_NWO_funding,$B$144,""),""),"")</f>
        <v/>
      </c>
      <c r="V217" s="113" t="str">
        <f>IFERROR(IF(COUNTIF(INDEX(#REF!,A217),"*leave*")&gt;0,IF(Research_leave_FTE_months&gt;pers_leave_maxduration,$B$145,""),""),"")</f>
        <v/>
      </c>
      <c r="W217" s="113" t="str">
        <f>IFERROR(IF(AND(INDEX(#REF!,A217)=0,INDEX(salaries_academic[[category]:[1]],MATCH(INDEX(#REF!,A217),salaries_academic[category],0),3)=0),$B$148,""),"")</f>
        <v/>
      </c>
      <c r="X217" s="113" t="e">
        <f>IF(AND(organisation_type="yes",INDEX(#REF!,A217,1)&lt;&gt;"",ISBLANK(INDEX(#REF!,A217,1))),$B$146,"")</f>
        <v>#REF!</v>
      </c>
      <c r="Y217" s="113" t="e">
        <f>IF(AND(organisation_name="yes",INDEX(#REF!,A217,1)&lt;&gt;"",ISBLANK(INDEX(#REF!,A217,1))),$B$147,"")</f>
        <v>#REF!</v>
      </c>
      <c r="Z217" s="113" t="str">
        <f>IFERROR(IF(AND(INDEX(#REF!,A217)&gt;0,INDEX(salaries_academic[[category]:[1]],MATCH(INDEX(#REF!,A217),salaries_academic[category],0),3)&gt;0),$B$149,""),"")</f>
        <v/>
      </c>
    </row>
    <row r="218" spans="1:26" outlineLevel="1" x14ac:dyDescent="0.35">
      <c r="A218" s="113">
        <v>11</v>
      </c>
      <c r="B218" s="113" t="str">
        <f t="array" ref="B218">IFERROR(INDEX(personnel_ac_notes[[#This Row],[Exceeding nr months]:[Costs specified]],1,MATCH(TRUE,LEN(personnel_ac_notes[[#This Row],[Exceeding nr months]:[Costs specified]])&gt;0,0)),"")</f>
        <v/>
      </c>
      <c r="C218" s="113" t="str">
        <f>IFERROR(IF(INDEX(#REF!,A218)&gt;Max_project_duration,$B$128,""),"")</f>
        <v/>
      </c>
      <c r="D218" s="113" t="str">
        <f>IFERROR(IF(AND(LEN(INDEX(#REF!,A218))+LEN(INDEX(#REF!,A218))+LEN(INDEX(#REF!,A218))&gt;0,LEN(INDEX(#REF!,A218-1))+LEN(INDEX(#REF!,A218-1))+LEN(INDEX(#REF!,A218-1))=0),$B$127,""),"")</f>
        <v/>
      </c>
      <c r="E218" s="113" t="str">
        <f>IF(AND(NOT(ISBLANK(INDEX(#REF!,A218))),OR(ISBLANK(INDEX(#REF!,A218)),ISBLANK(INDEX(#REF!,A218)))),VLOOKUP(INDEX(#REF!,A218),salaries_academic[],2,FALSE),"")</f>
        <v/>
      </c>
      <c r="F218" s="113" t="str">
        <f>IFERROR(IF(COUNTIF(INDEX(#REF!,A218),"*- PhD*")&gt;0,IF(INDEX(#REF!,A218)*INDEX(#REF!,A218)&lt;pers_PhD_min_months,$B$129,""),""),"")</f>
        <v/>
      </c>
      <c r="G218" s="113" t="str">
        <f>IFERROR(IF(COUNTIF(INDEX(#REF!,$A218),"*- PhD*")&gt;0,IF(INDEX(#REF!,$A218)*INDEX(#REF!,$A218)&gt;pers_PhD_max_months,$B$130,""),""),"")</f>
        <v/>
      </c>
      <c r="H218" s="113" t="str">
        <f>IFERROR(IF(COUNTIF(INDEX(#REF!,A218),"*year*")&gt;0,IF(INDEX(#REF!,A218)*INDEX(#REF!,A218)&lt;pers_3yPhD_min_months,$B$131,""),""),"")</f>
        <v/>
      </c>
      <c r="I218" s="113" t="str">
        <f>IFERROR(IF(COUNTIF(INDEX(#REF!,A218),"*PDEng*")&gt;0,IF(OR(IFERROR(MATCH("*PhD*",#REF!,0),0)&gt;0,IFERROR(MATCH("*PostDoc*",#REF!,0),0)&gt;0),"",$B$132),""),"")</f>
        <v/>
      </c>
      <c r="J218" s="113" t="str">
        <f>IFERROR(IF(COUNTIF(INDEX(#REF!,A218),"*PDEng*")&gt;0,IF(INDEX(#REF!,A218)*INDEX(#REF!,A218)&gt;pers_PDEng_max_months,$B$133,""),""),"")</f>
        <v/>
      </c>
      <c r="K218" s="113" t="str">
        <f>IFERROR(IF(COUNTIF(INDEX(#REF!,A218),"*PostDoc*")&gt;0,IF(INDEX(#REF!,A218)*INDEX(#REF!,A218)&lt;pers_PD_min_months,$B$134,""),""),"")</f>
        <v/>
      </c>
      <c r="L218" s="113" t="str">
        <f>IFERROR(IF(COUNTIF(INDEX(#REF!,A218),"*PostDoc*")&gt;0,IF(INDEX(#REF!,A218)*INDEX(#REF!,A218)&gt;pers_PD_max_months,$B$135,""),""),"")</f>
        <v/>
      </c>
      <c r="M218" s="113" t="str">
        <f>IFERROR(IF(COUNTIF(INDEX(#REF!,A218),"*Non-scientific*")&gt;0,IF(OR(IFERROR(MATCH("*PhD*",#REF!,0),0)&gt;0,IFERROR(MATCH("*PostDoc*",#REF!,0),0)&gt;0),"",$B$136),""),"")</f>
        <v/>
      </c>
      <c r="N218" s="113" t="str">
        <f>IFERROR(IF(COUNTIF(INDEX(#REF!,A218),"*Non-scientific*")&gt;0,IF(Total_NSP&gt;pers_max_NSP,$B$137,""),""),"")</f>
        <v/>
      </c>
      <c r="O218" s="113" t="str">
        <f>IFERROR(IF(COUNTIF(INDEX(#REF!,A218),"*Non-scientific*")&gt;0,IF(INDEX(#REF!,A218)*INDEX(#REF!,A218)&lt;pers_NSP_min_months,$B$138,""),""),"")</f>
        <v/>
      </c>
      <c r="P218" s="113" t="str">
        <f>IFERROR(IF(COUNTIF(INDEX(#REF!,A218),"*Non-scientific*")&gt;0,IF(INDEX(#REF!,A218)*INDEX(#REF!,A218)&gt;pers_NSP_max_months,$B$139,""),""),"")</f>
        <v/>
      </c>
      <c r="Q218" s="113" t="str">
        <f>IFERROR(IF(COUNTIF(INDEX(#REF!,A218),"*Other scientific*")&gt;0,IF(OR(IFERROR(MATCH("*PhD*",#REF!,0),0)&gt;0,IFERROR(MATCH("*PostDoc*",#REF!,0),0)&gt;0),"",$B$140),""),"")</f>
        <v/>
      </c>
      <c r="R218" s="113" t="str">
        <f>IFERROR(IF(COUNTIF(INDEX(#REF!,A218),"*Other scientific*")&gt;0,IF(Total_OSP&gt;pers_max_OSP,$B$141,""),""),"")</f>
        <v/>
      </c>
      <c r="S218" s="113" t="str">
        <f>IFERROR(IF(COUNTIF(INDEX(#REF!,A218),"*Other scientific*")&gt;0,IF(INDEX(#REF!,A218)*INDEX(#REF!,A218)&lt;pers_OSP_min_months,$B$142,""),""),"")</f>
        <v/>
      </c>
      <c r="T218" s="113" t="str">
        <f>IFERROR(IF(COUNTIF(INDEX(#REF!,A218),"*Other scientific*")&gt;0,IF(INDEX(#REF!,A218)*INDEX(#REF!,A218)&gt;pers_OSP_max_months,$B$143,""),""),"")</f>
        <v/>
      </c>
      <c r="U218" s="113" t="str">
        <f>IFERROR(IF(COUNTIF(INDEX(#REF!,A218),"*leave*")&gt;0,IF(Total_Research_leave&gt;pers_leave_maxperc*Total_NWO_funding,$B$144,""),""),"")</f>
        <v/>
      </c>
      <c r="V218" s="113" t="str">
        <f>IFERROR(IF(COUNTIF(INDEX(#REF!,A218),"*leave*")&gt;0,IF(Research_leave_FTE_months&gt;pers_leave_maxduration,$B$145,""),""),"")</f>
        <v/>
      </c>
      <c r="W218" s="113" t="str">
        <f>IFERROR(IF(AND(INDEX(#REF!,A218)=0,INDEX(salaries_academic[[category]:[1]],MATCH(INDEX(#REF!,A218),salaries_academic[category],0),3)=0),$B$148,""),"")</f>
        <v/>
      </c>
      <c r="X218" s="113" t="e">
        <f>IF(AND(organisation_type="yes",INDEX(#REF!,A218,1)&lt;&gt;"",ISBLANK(INDEX(#REF!,A218,1))),$B$146,"")</f>
        <v>#REF!</v>
      </c>
      <c r="Y218" s="113" t="e">
        <f>IF(AND(organisation_name="yes",INDEX(#REF!,A218,1)&lt;&gt;"",ISBLANK(INDEX(#REF!,A218,1))),$B$147,"")</f>
        <v>#REF!</v>
      </c>
      <c r="Z218" s="113" t="str">
        <f>IFERROR(IF(AND(INDEX(#REF!,A218)&gt;0,INDEX(salaries_academic[[category]:[1]],MATCH(INDEX(#REF!,A218),salaries_academic[category],0),3)&gt;0),$B$149,""),"")</f>
        <v/>
      </c>
    </row>
    <row r="219" spans="1:26" outlineLevel="1" x14ac:dyDescent="0.35">
      <c r="A219" s="113">
        <v>12</v>
      </c>
      <c r="B219" s="113" t="str">
        <f t="array" ref="B219">IFERROR(INDEX(personnel_ac_notes[[#This Row],[Exceeding nr months]:[Costs specified]],1,MATCH(TRUE,LEN(personnel_ac_notes[[#This Row],[Exceeding nr months]:[Costs specified]])&gt;0,0)),"")</f>
        <v/>
      </c>
      <c r="C219" s="113" t="str">
        <f>IFERROR(IF(INDEX(#REF!,A219)&gt;Max_project_duration,$B$128,""),"")</f>
        <v/>
      </c>
      <c r="D219" s="113" t="str">
        <f>IFERROR(IF(AND(LEN(INDEX(#REF!,A219))+LEN(INDEX(#REF!,A219))+LEN(INDEX(#REF!,A219))&gt;0,LEN(INDEX(#REF!,A219-1))+LEN(INDEX(#REF!,A219-1))+LEN(INDEX(#REF!,A219-1))=0),$B$127,""),"")</f>
        <v/>
      </c>
      <c r="E219" s="113" t="str">
        <f>IF(AND(NOT(ISBLANK(INDEX(#REF!,A219))),OR(ISBLANK(INDEX(#REF!,A219)),ISBLANK(INDEX(#REF!,A219)))),VLOOKUP(INDEX(#REF!,A219),salaries_academic[],2,FALSE),"")</f>
        <v/>
      </c>
      <c r="F219" s="113" t="str">
        <f>IFERROR(IF(COUNTIF(INDEX(#REF!,A219),"*- PhD*")&gt;0,IF(INDEX(#REF!,A219)*INDEX(#REF!,A219)&lt;pers_PhD_min_months,$B$129,""),""),"")</f>
        <v/>
      </c>
      <c r="G219" s="113" t="str">
        <f>IFERROR(IF(COUNTIF(INDEX(#REF!,$A219),"*- PhD*")&gt;0,IF(INDEX(#REF!,$A219)*INDEX(#REF!,$A219)&gt;pers_PhD_max_months,$B$130,""),""),"")</f>
        <v/>
      </c>
      <c r="H219" s="113" t="str">
        <f>IFERROR(IF(COUNTIF(INDEX(#REF!,A219),"*year*")&gt;0,IF(INDEX(#REF!,A219)*INDEX(#REF!,A219)&lt;pers_3yPhD_min_months,$B$131,""),""),"")</f>
        <v/>
      </c>
      <c r="I219" s="113" t="str">
        <f>IFERROR(IF(COUNTIF(INDEX(#REF!,A219),"*PDEng*")&gt;0,IF(OR(IFERROR(MATCH("*PhD*",#REF!,0),0)&gt;0,IFERROR(MATCH("*PostDoc*",#REF!,0),0)&gt;0),"",$B$132),""),"")</f>
        <v/>
      </c>
      <c r="J219" s="113" t="str">
        <f>IFERROR(IF(COUNTIF(INDEX(#REF!,A219),"*PDEng*")&gt;0,IF(INDEX(#REF!,A219)*INDEX(#REF!,A219)&gt;pers_PDEng_max_months,$B$133,""),""),"")</f>
        <v/>
      </c>
      <c r="K219" s="113" t="str">
        <f>IFERROR(IF(COUNTIF(INDEX(#REF!,A219),"*PostDoc*")&gt;0,IF(INDEX(#REF!,A219)*INDEX(#REF!,A219)&lt;pers_PD_min_months,$B$134,""),""),"")</f>
        <v/>
      </c>
      <c r="L219" s="113" t="str">
        <f>IFERROR(IF(COUNTIF(INDEX(#REF!,A219),"*PostDoc*")&gt;0,IF(INDEX(#REF!,A219)*INDEX(#REF!,A219)&gt;pers_PD_max_months,$B$135,""),""),"")</f>
        <v/>
      </c>
      <c r="M219" s="113" t="str">
        <f>IFERROR(IF(COUNTIF(INDEX(#REF!,A219),"*Non-scientific*")&gt;0,IF(OR(IFERROR(MATCH("*PhD*",#REF!,0),0)&gt;0,IFERROR(MATCH("*PostDoc*",#REF!,0),0)&gt;0),"",$B$136),""),"")</f>
        <v/>
      </c>
      <c r="N219" s="113" t="str">
        <f>IFERROR(IF(COUNTIF(INDEX(#REF!,A219),"*Non-scientific*")&gt;0,IF(Total_NSP&gt;pers_max_NSP,$B$137,""),""),"")</f>
        <v/>
      </c>
      <c r="O219" s="113" t="str">
        <f>IFERROR(IF(COUNTIF(INDEX(#REF!,A219),"*Non-scientific*")&gt;0,IF(INDEX(#REF!,A219)*INDEX(#REF!,A219)&lt;pers_NSP_min_months,$B$138,""),""),"")</f>
        <v/>
      </c>
      <c r="P219" s="113" t="str">
        <f>IFERROR(IF(COUNTIF(INDEX(#REF!,A219),"*Non-scientific*")&gt;0,IF(INDEX(#REF!,A219)*INDEX(#REF!,A219)&gt;pers_NSP_max_months,$B$139,""),""),"")</f>
        <v/>
      </c>
      <c r="Q219" s="113" t="str">
        <f>IFERROR(IF(COUNTIF(INDEX(#REF!,A219),"*Other scientific*")&gt;0,IF(OR(IFERROR(MATCH("*PhD*",#REF!,0),0)&gt;0,IFERROR(MATCH("*PostDoc*",#REF!,0),0)&gt;0),"",$B$140),""),"")</f>
        <v/>
      </c>
      <c r="R219" s="113" t="str">
        <f>IFERROR(IF(COUNTIF(INDEX(#REF!,A219),"*Other scientific*")&gt;0,IF(Total_OSP&gt;pers_max_OSP,$B$141,""),""),"")</f>
        <v/>
      </c>
      <c r="S219" s="113" t="str">
        <f>IFERROR(IF(COUNTIF(INDEX(#REF!,A219),"*Other scientific*")&gt;0,IF(INDEX(#REF!,A219)*INDEX(#REF!,A219)&lt;pers_OSP_min_months,$B$142,""),""),"")</f>
        <v/>
      </c>
      <c r="T219" s="113" t="str">
        <f>IFERROR(IF(COUNTIF(INDEX(#REF!,A219),"*Other scientific*")&gt;0,IF(INDEX(#REF!,A219)*INDEX(#REF!,A219)&gt;pers_OSP_max_months,$B$143,""),""),"")</f>
        <v/>
      </c>
      <c r="U219" s="113" t="str">
        <f>IFERROR(IF(COUNTIF(INDEX(#REF!,A219),"*leave*")&gt;0,IF(Total_Research_leave&gt;pers_leave_maxperc*Total_NWO_funding,$B$144,""),""),"")</f>
        <v/>
      </c>
      <c r="V219" s="113" t="str">
        <f>IFERROR(IF(COUNTIF(INDEX(#REF!,A219),"*leave*")&gt;0,IF(Research_leave_FTE_months&gt;pers_leave_maxduration,$B$145,""),""),"")</f>
        <v/>
      </c>
      <c r="W219" s="113" t="str">
        <f>IFERROR(IF(AND(INDEX(#REF!,A219)=0,INDEX(salaries_academic[[category]:[1]],MATCH(INDEX(#REF!,A219),salaries_academic[category],0),3)=0),$B$148,""),"")</f>
        <v/>
      </c>
      <c r="X219" s="113" t="e">
        <f>IF(AND(organisation_type="yes",INDEX(#REF!,A219,1)&lt;&gt;"",ISBLANK(INDEX(#REF!,A219,1))),$B$146,"")</f>
        <v>#REF!</v>
      </c>
      <c r="Y219" s="113" t="e">
        <f>IF(AND(organisation_name="yes",INDEX(#REF!,A219,1)&lt;&gt;"",ISBLANK(INDEX(#REF!,A219,1))),$B$147,"")</f>
        <v>#REF!</v>
      </c>
      <c r="Z219" s="113" t="str">
        <f>IFERROR(IF(AND(INDEX(#REF!,A219)&gt;0,INDEX(salaries_academic[[category]:[1]],MATCH(INDEX(#REF!,A219),salaries_academic[category],0),3)&gt;0),$B$149,""),"")</f>
        <v/>
      </c>
    </row>
    <row r="220" spans="1:26" outlineLevel="1" x14ac:dyDescent="0.35">
      <c r="A220" s="113">
        <v>13</v>
      </c>
      <c r="B220" s="113" t="str">
        <f t="array" ref="B220">IFERROR(INDEX(personnel_ac_notes[[#This Row],[Exceeding nr months]:[Costs specified]],1,MATCH(TRUE,LEN(personnel_ac_notes[[#This Row],[Exceeding nr months]:[Costs specified]])&gt;0,0)),"")</f>
        <v/>
      </c>
      <c r="C220" s="113" t="str">
        <f>IFERROR(IF(INDEX(#REF!,A220)&gt;Max_project_duration,$B$128,""),"")</f>
        <v/>
      </c>
      <c r="D220" s="113" t="str">
        <f>IFERROR(IF(AND(LEN(INDEX(#REF!,A220))+LEN(INDEX(#REF!,A220))+LEN(INDEX(#REF!,A220))&gt;0,LEN(INDEX(#REF!,A220-1))+LEN(INDEX(#REF!,A220-1))+LEN(INDEX(#REF!,A220-1))=0),$B$127,""),"")</f>
        <v/>
      </c>
      <c r="E220" s="113" t="str">
        <f>IF(AND(NOT(ISBLANK(INDEX(#REF!,A220))),OR(ISBLANK(INDEX(#REF!,A220)),ISBLANK(INDEX(#REF!,A220)))),VLOOKUP(INDEX(#REF!,A220),salaries_academic[],2,FALSE),"")</f>
        <v/>
      </c>
      <c r="F220" s="113" t="str">
        <f>IFERROR(IF(COUNTIF(INDEX(#REF!,A220),"*- PhD*")&gt;0,IF(INDEX(#REF!,A220)*INDEX(#REF!,A220)&lt;pers_PhD_min_months,$B$129,""),""),"")</f>
        <v/>
      </c>
      <c r="G220" s="113" t="str">
        <f>IFERROR(IF(COUNTIF(INDEX(#REF!,$A220),"*- PhD*")&gt;0,IF(INDEX(#REF!,$A220)*INDEX(#REF!,$A220)&gt;pers_PhD_max_months,$B$130,""),""),"")</f>
        <v/>
      </c>
      <c r="H220" s="113" t="str">
        <f>IFERROR(IF(COUNTIF(INDEX(#REF!,A220),"*year*")&gt;0,IF(INDEX(#REF!,A220)*INDEX(#REF!,A220)&lt;pers_3yPhD_min_months,$B$131,""),""),"")</f>
        <v/>
      </c>
      <c r="I220" s="113" t="str">
        <f>IFERROR(IF(COUNTIF(INDEX(#REF!,A220),"*PDEng*")&gt;0,IF(OR(IFERROR(MATCH("*PhD*",#REF!,0),0)&gt;0,IFERROR(MATCH("*PostDoc*",#REF!,0),0)&gt;0),"",$B$132),""),"")</f>
        <v/>
      </c>
      <c r="J220" s="113" t="str">
        <f>IFERROR(IF(COUNTIF(INDEX(#REF!,A220),"*PDEng*")&gt;0,IF(INDEX(#REF!,A220)*INDEX(#REF!,A220)&gt;pers_PDEng_max_months,$B$133,""),""),"")</f>
        <v/>
      </c>
      <c r="K220" s="113" t="str">
        <f>IFERROR(IF(COUNTIF(INDEX(#REF!,A220),"*PostDoc*")&gt;0,IF(INDEX(#REF!,A220)*INDEX(#REF!,A220)&lt;pers_PD_min_months,$B$134,""),""),"")</f>
        <v/>
      </c>
      <c r="L220" s="113" t="str">
        <f>IFERROR(IF(COUNTIF(INDEX(#REF!,A220),"*PostDoc*")&gt;0,IF(INDEX(#REF!,A220)*INDEX(#REF!,A220)&gt;pers_PD_max_months,$B$135,""),""),"")</f>
        <v/>
      </c>
      <c r="M220" s="113" t="str">
        <f>IFERROR(IF(COUNTIF(INDEX(#REF!,A220),"*Non-scientific*")&gt;0,IF(OR(IFERROR(MATCH("*PhD*",#REF!,0),0)&gt;0,IFERROR(MATCH("*PostDoc*",#REF!,0),0)&gt;0),"",$B$136),""),"")</f>
        <v/>
      </c>
      <c r="N220" s="113" t="str">
        <f>IFERROR(IF(COUNTIF(INDEX(#REF!,A220),"*Non-scientific*")&gt;0,IF(Total_NSP&gt;pers_max_NSP,$B$137,""),""),"")</f>
        <v/>
      </c>
      <c r="O220" s="113" t="str">
        <f>IFERROR(IF(COUNTIF(INDEX(#REF!,A220),"*Non-scientific*")&gt;0,IF(INDEX(#REF!,A220)*INDEX(#REF!,A220)&lt;pers_NSP_min_months,$B$138,""),""),"")</f>
        <v/>
      </c>
      <c r="P220" s="113" t="str">
        <f>IFERROR(IF(COUNTIF(INDEX(#REF!,A220),"*Non-scientific*")&gt;0,IF(INDEX(#REF!,A220)*INDEX(#REF!,A220)&gt;pers_NSP_max_months,$B$139,""),""),"")</f>
        <v/>
      </c>
      <c r="Q220" s="113" t="str">
        <f>IFERROR(IF(COUNTIF(INDEX(#REF!,A220),"*Other scientific*")&gt;0,IF(OR(IFERROR(MATCH("*PhD*",#REF!,0),0)&gt;0,IFERROR(MATCH("*PostDoc*",#REF!,0),0)&gt;0),"",$B$140),""),"")</f>
        <v/>
      </c>
      <c r="R220" s="113" t="str">
        <f>IFERROR(IF(COUNTIF(INDEX(#REF!,A220),"*Other scientific*")&gt;0,IF(Total_OSP&gt;pers_max_OSP,$B$141,""),""),"")</f>
        <v/>
      </c>
      <c r="S220" s="113" t="str">
        <f>IFERROR(IF(COUNTIF(INDEX(#REF!,A220),"*Other scientific*")&gt;0,IF(INDEX(#REF!,A220)*INDEX(#REF!,A220)&lt;pers_OSP_min_months,$B$142,""),""),"")</f>
        <v/>
      </c>
      <c r="T220" s="113" t="str">
        <f>IFERROR(IF(COUNTIF(INDEX(#REF!,A220),"*Other scientific*")&gt;0,IF(INDEX(#REF!,A220)*INDEX(#REF!,A220)&gt;pers_OSP_max_months,$B$143,""),""),"")</f>
        <v/>
      </c>
      <c r="U220" s="113" t="str">
        <f>IFERROR(IF(COUNTIF(INDEX(#REF!,A220),"*leave*")&gt;0,IF(Total_Research_leave&gt;pers_leave_maxperc*Total_NWO_funding,$B$144,""),""),"")</f>
        <v/>
      </c>
      <c r="V220" s="113" t="str">
        <f>IFERROR(IF(COUNTIF(INDEX(#REF!,A220),"*leave*")&gt;0,IF(Research_leave_FTE_months&gt;pers_leave_maxduration,$B$145,""),""),"")</f>
        <v/>
      </c>
      <c r="W220" s="113" t="str">
        <f>IFERROR(IF(AND(INDEX(#REF!,A220)=0,INDEX(salaries_academic[[category]:[1]],MATCH(INDEX(#REF!,A220),salaries_academic[category],0),3)=0),$B$148,""),"")</f>
        <v/>
      </c>
      <c r="X220" s="113" t="e">
        <f>IF(AND(organisation_type="yes",INDEX(#REF!,A220,1)&lt;&gt;"",ISBLANK(INDEX(#REF!,A220,1))),$B$146,"")</f>
        <v>#REF!</v>
      </c>
      <c r="Y220" s="113" t="e">
        <f>IF(AND(organisation_name="yes",INDEX(#REF!,A220,1)&lt;&gt;"",ISBLANK(INDEX(#REF!,A220,1))),$B$147,"")</f>
        <v>#REF!</v>
      </c>
      <c r="Z220" s="113" t="str">
        <f>IFERROR(IF(AND(INDEX(#REF!,A220)&gt;0,INDEX(salaries_academic[[category]:[1]],MATCH(INDEX(#REF!,A220),salaries_academic[category],0),3)&gt;0),$B$149,""),"")</f>
        <v/>
      </c>
    </row>
    <row r="221" spans="1:26" outlineLevel="1" x14ac:dyDescent="0.35">
      <c r="A221" s="113">
        <v>14</v>
      </c>
      <c r="B221" s="113" t="str">
        <f t="array" ref="B221">IFERROR(INDEX(personnel_ac_notes[[#This Row],[Exceeding nr months]:[Costs specified]],1,MATCH(TRUE,LEN(personnel_ac_notes[[#This Row],[Exceeding nr months]:[Costs specified]])&gt;0,0)),"")</f>
        <v/>
      </c>
      <c r="C221" s="113" t="str">
        <f>IFERROR(IF(INDEX(#REF!,A221)&gt;Max_project_duration,$B$128,""),"")</f>
        <v/>
      </c>
      <c r="D221" s="113" t="str">
        <f>IFERROR(IF(AND(LEN(INDEX(#REF!,A221))+LEN(INDEX(#REF!,A221))+LEN(INDEX(#REF!,A221))&gt;0,LEN(INDEX(#REF!,A221-1))+LEN(INDEX(#REF!,A221-1))+LEN(INDEX(#REF!,A221-1))=0),$B$127,""),"")</f>
        <v/>
      </c>
      <c r="E221" s="113" t="str">
        <f>IF(AND(NOT(ISBLANK(INDEX(#REF!,A221))),OR(ISBLANK(INDEX(#REF!,A221)),ISBLANK(INDEX(#REF!,A221)))),VLOOKUP(INDEX(#REF!,A221),salaries_academic[],2,FALSE),"")</f>
        <v/>
      </c>
      <c r="F221" s="113" t="str">
        <f>IFERROR(IF(COUNTIF(INDEX(#REF!,A221),"*- PhD*")&gt;0,IF(INDEX(#REF!,A221)*INDEX(#REF!,A221)&lt;pers_PhD_min_months,$B$129,""),""),"")</f>
        <v/>
      </c>
      <c r="G221" s="113" t="str">
        <f>IFERROR(IF(COUNTIF(INDEX(#REF!,$A221),"*- PhD*")&gt;0,IF(INDEX(#REF!,$A221)*INDEX(#REF!,$A221)&gt;pers_PhD_max_months,$B$130,""),""),"")</f>
        <v/>
      </c>
      <c r="H221" s="113" t="str">
        <f>IFERROR(IF(COUNTIF(INDEX(#REF!,A221),"*year*")&gt;0,IF(INDEX(#REF!,A221)*INDEX(#REF!,A221)&lt;pers_3yPhD_min_months,$B$131,""),""),"")</f>
        <v/>
      </c>
      <c r="I221" s="113" t="str">
        <f>IFERROR(IF(COUNTIF(INDEX(#REF!,A221),"*PDEng*")&gt;0,IF(OR(IFERROR(MATCH("*PhD*",#REF!,0),0)&gt;0,IFERROR(MATCH("*PostDoc*",#REF!,0),0)&gt;0),"",$B$132),""),"")</f>
        <v/>
      </c>
      <c r="J221" s="113" t="str">
        <f>IFERROR(IF(COUNTIF(INDEX(#REF!,A221),"*PDEng*")&gt;0,IF(INDEX(#REF!,A221)*INDEX(#REF!,A221)&gt;pers_PDEng_max_months,$B$133,""),""),"")</f>
        <v/>
      </c>
      <c r="K221" s="113" t="str">
        <f>IFERROR(IF(COUNTIF(INDEX(#REF!,A221),"*PostDoc*")&gt;0,IF(INDEX(#REF!,A221)*INDEX(#REF!,A221)&lt;pers_PD_min_months,$B$134,""),""),"")</f>
        <v/>
      </c>
      <c r="L221" s="113" t="str">
        <f>IFERROR(IF(COUNTIF(INDEX(#REF!,A221),"*PostDoc*")&gt;0,IF(INDEX(#REF!,A221)*INDEX(#REF!,A221)&gt;pers_PD_max_months,$B$135,""),""),"")</f>
        <v/>
      </c>
      <c r="M221" s="113" t="str">
        <f>IFERROR(IF(COUNTIF(INDEX(#REF!,A221),"*Non-scientific*")&gt;0,IF(OR(IFERROR(MATCH("*PhD*",#REF!,0),0)&gt;0,IFERROR(MATCH("*PostDoc*",#REF!,0),0)&gt;0),"",$B$136),""),"")</f>
        <v/>
      </c>
      <c r="N221" s="113" t="str">
        <f>IFERROR(IF(COUNTIF(INDEX(#REF!,A221),"*Non-scientific*")&gt;0,IF(Total_NSP&gt;pers_max_NSP,$B$137,""),""),"")</f>
        <v/>
      </c>
      <c r="O221" s="113" t="str">
        <f>IFERROR(IF(COUNTIF(INDEX(#REF!,A221),"*Non-scientific*")&gt;0,IF(INDEX(#REF!,A221)*INDEX(#REF!,A221)&lt;pers_NSP_min_months,$B$138,""),""),"")</f>
        <v/>
      </c>
      <c r="P221" s="113" t="str">
        <f>IFERROR(IF(COUNTIF(INDEX(#REF!,A221),"*Non-scientific*")&gt;0,IF(INDEX(#REF!,A221)*INDEX(#REF!,A221)&gt;pers_NSP_max_months,$B$139,""),""),"")</f>
        <v/>
      </c>
      <c r="Q221" s="113" t="str">
        <f>IFERROR(IF(COUNTIF(INDEX(#REF!,A221),"*Other scientific*")&gt;0,IF(OR(IFERROR(MATCH("*PhD*",#REF!,0),0)&gt;0,IFERROR(MATCH("*PostDoc*",#REF!,0),0)&gt;0),"",$B$140),""),"")</f>
        <v/>
      </c>
      <c r="R221" s="113" t="str">
        <f>IFERROR(IF(COUNTIF(INDEX(#REF!,A221),"*Other scientific*")&gt;0,IF(Total_OSP&gt;pers_max_OSP,$B$141,""),""),"")</f>
        <v/>
      </c>
      <c r="S221" s="113" t="str">
        <f>IFERROR(IF(COUNTIF(INDEX(#REF!,A221),"*Other scientific*")&gt;0,IF(INDEX(#REF!,A221)*INDEX(#REF!,A221)&lt;pers_OSP_min_months,$B$142,""),""),"")</f>
        <v/>
      </c>
      <c r="T221" s="113" t="str">
        <f>IFERROR(IF(COUNTIF(INDEX(#REF!,A221),"*Other scientific*")&gt;0,IF(INDEX(#REF!,A221)*INDEX(#REF!,A221)&gt;pers_OSP_max_months,$B$143,""),""),"")</f>
        <v/>
      </c>
      <c r="U221" s="113" t="str">
        <f>IFERROR(IF(COUNTIF(INDEX(#REF!,A221),"*leave*")&gt;0,IF(Total_Research_leave&gt;pers_leave_maxperc*Total_NWO_funding,$B$144,""),""),"")</f>
        <v/>
      </c>
      <c r="V221" s="113" t="str">
        <f>IFERROR(IF(COUNTIF(INDEX(#REF!,A221),"*leave*")&gt;0,IF(Research_leave_FTE_months&gt;pers_leave_maxduration,$B$145,""),""),"")</f>
        <v/>
      </c>
      <c r="W221" s="113" t="str">
        <f>IFERROR(IF(AND(INDEX(#REF!,A221)=0,INDEX(salaries_academic[[category]:[1]],MATCH(INDEX(#REF!,A221),salaries_academic[category],0),3)=0),$B$148,""),"")</f>
        <v/>
      </c>
      <c r="X221" s="113" t="e">
        <f>IF(AND(organisation_type="yes",INDEX(#REF!,A221,1)&lt;&gt;"",ISBLANK(INDEX(#REF!,A221,1))),$B$146,"")</f>
        <v>#REF!</v>
      </c>
      <c r="Y221" s="113" t="e">
        <f>IF(AND(organisation_name="yes",INDEX(#REF!,A221,1)&lt;&gt;"",ISBLANK(INDEX(#REF!,A221,1))),$B$147,"")</f>
        <v>#REF!</v>
      </c>
      <c r="Z221" s="113" t="str">
        <f>IFERROR(IF(AND(INDEX(#REF!,A221)&gt;0,INDEX(salaries_academic[[category]:[1]],MATCH(INDEX(#REF!,A221),salaries_academic[category],0),3)&gt;0),$B$149,""),"")</f>
        <v/>
      </c>
    </row>
    <row r="222" spans="1:26" outlineLevel="1" x14ac:dyDescent="0.35">
      <c r="A222" s="113">
        <v>15</v>
      </c>
      <c r="B222" s="113" t="str">
        <f t="array" ref="B222">IFERROR(INDEX(personnel_ac_notes[[#This Row],[Exceeding nr months]:[Costs specified]],1,MATCH(TRUE,LEN(personnel_ac_notes[[#This Row],[Exceeding nr months]:[Costs specified]])&gt;0,0)),"")</f>
        <v/>
      </c>
      <c r="C222" s="113" t="str">
        <f>IFERROR(IF(INDEX(#REF!,A222)&gt;Max_project_duration,$B$128,""),"")</f>
        <v/>
      </c>
      <c r="D222" s="113" t="str">
        <f>IFERROR(IF(AND(LEN(INDEX(#REF!,A222))+LEN(INDEX(#REF!,A222))+LEN(INDEX(#REF!,A222))&gt;0,LEN(INDEX(#REF!,A222-1))+LEN(INDEX(#REF!,A222-1))+LEN(INDEX(#REF!,A222-1))=0),$B$127,""),"")</f>
        <v/>
      </c>
      <c r="E222" s="113" t="str">
        <f>IF(AND(NOT(ISBLANK(INDEX(#REF!,A222))),OR(ISBLANK(INDEX(#REF!,A222)),ISBLANK(INDEX(#REF!,A222)))),VLOOKUP(INDEX(#REF!,A222),salaries_academic[],2,FALSE),"")</f>
        <v/>
      </c>
      <c r="F222" s="113" t="str">
        <f>IFERROR(IF(COUNTIF(INDEX(#REF!,A222),"*- PhD*")&gt;0,IF(INDEX(#REF!,A222)*INDEX(#REF!,A222)&lt;pers_PhD_min_months,$B$129,""),""),"")</f>
        <v/>
      </c>
      <c r="G222" s="113" t="str">
        <f>IFERROR(IF(COUNTIF(INDEX(#REF!,$A222),"*- PhD*")&gt;0,IF(INDEX(#REF!,$A222)*INDEX(#REF!,$A222)&gt;pers_PhD_max_months,$B$130,""),""),"")</f>
        <v/>
      </c>
      <c r="H222" s="113" t="str">
        <f>IFERROR(IF(COUNTIF(INDEX(#REF!,A222),"*year*")&gt;0,IF(INDEX(#REF!,A222)*INDEX(#REF!,A222)&lt;pers_3yPhD_min_months,$B$131,""),""),"")</f>
        <v/>
      </c>
      <c r="I222" s="113" t="str">
        <f>IFERROR(IF(COUNTIF(INDEX(#REF!,A222),"*PDEng*")&gt;0,IF(OR(IFERROR(MATCH("*PhD*",#REF!,0),0)&gt;0,IFERROR(MATCH("*PostDoc*",#REF!,0),0)&gt;0),"",$B$132),""),"")</f>
        <v/>
      </c>
      <c r="J222" s="113" t="str">
        <f>IFERROR(IF(COUNTIF(INDEX(#REF!,A222),"*PDEng*")&gt;0,IF(INDEX(#REF!,A222)*INDEX(#REF!,A222)&gt;pers_PDEng_max_months,$B$133,""),""),"")</f>
        <v/>
      </c>
      <c r="K222" s="113" t="str">
        <f>IFERROR(IF(COUNTIF(INDEX(#REF!,A222),"*PostDoc*")&gt;0,IF(INDEX(#REF!,A222)*INDEX(#REF!,A222)&lt;pers_PD_min_months,$B$134,""),""),"")</f>
        <v/>
      </c>
      <c r="L222" s="113" t="str">
        <f>IFERROR(IF(COUNTIF(INDEX(#REF!,A222),"*PostDoc*")&gt;0,IF(INDEX(#REF!,A222)*INDEX(#REF!,A222)&gt;pers_PD_max_months,$B$135,""),""),"")</f>
        <v/>
      </c>
      <c r="M222" s="113" t="str">
        <f>IFERROR(IF(COUNTIF(INDEX(#REF!,A222),"*Non-scientific*")&gt;0,IF(OR(IFERROR(MATCH("*PhD*",#REF!,0),0)&gt;0,IFERROR(MATCH("*PostDoc*",#REF!,0),0)&gt;0),"",$B$136),""),"")</f>
        <v/>
      </c>
      <c r="N222" s="113" t="str">
        <f>IFERROR(IF(COUNTIF(INDEX(#REF!,A222),"*Non-scientific*")&gt;0,IF(Total_NSP&gt;pers_max_NSP,$B$137,""),""),"")</f>
        <v/>
      </c>
      <c r="O222" s="113" t="str">
        <f>IFERROR(IF(COUNTIF(INDEX(#REF!,A222),"*Non-scientific*")&gt;0,IF(INDEX(#REF!,A222)*INDEX(#REF!,A222)&lt;pers_NSP_min_months,$B$138,""),""),"")</f>
        <v/>
      </c>
      <c r="P222" s="113" t="str">
        <f>IFERROR(IF(COUNTIF(INDEX(#REF!,A222),"*Non-scientific*")&gt;0,IF(INDEX(#REF!,A222)*INDEX(#REF!,A222)&gt;pers_NSP_max_months,$B$139,""),""),"")</f>
        <v/>
      </c>
      <c r="Q222" s="113" t="str">
        <f>IFERROR(IF(COUNTIF(INDEX(#REF!,A222),"*Other scientific*")&gt;0,IF(OR(IFERROR(MATCH("*PhD*",#REF!,0),0)&gt;0,IFERROR(MATCH("*PostDoc*",#REF!,0),0)&gt;0),"",$B$140),""),"")</f>
        <v/>
      </c>
      <c r="R222" s="113" t="str">
        <f>IFERROR(IF(COUNTIF(INDEX(#REF!,A222),"*Other scientific*")&gt;0,IF(Total_OSP&gt;pers_max_OSP,$B$141,""),""),"")</f>
        <v/>
      </c>
      <c r="S222" s="113" t="str">
        <f>IFERROR(IF(COUNTIF(INDEX(#REF!,A222),"*Other scientific*")&gt;0,IF(INDEX(#REF!,A222)*INDEX(#REF!,A222)&lt;pers_OSP_min_months,$B$142,""),""),"")</f>
        <v/>
      </c>
      <c r="T222" s="113" t="str">
        <f>IFERROR(IF(COUNTIF(INDEX(#REF!,A222),"*Other scientific*")&gt;0,IF(INDEX(#REF!,A222)*INDEX(#REF!,A222)&gt;pers_OSP_max_months,$B$143,""),""),"")</f>
        <v/>
      </c>
      <c r="U222" s="113" t="str">
        <f>IFERROR(IF(COUNTIF(INDEX(#REF!,A222),"*leave*")&gt;0,IF(Total_Research_leave&gt;pers_leave_maxperc*Total_NWO_funding,$B$144,""),""),"")</f>
        <v/>
      </c>
      <c r="V222" s="113" t="str">
        <f>IFERROR(IF(COUNTIF(INDEX(#REF!,A222),"*leave*")&gt;0,IF(Research_leave_FTE_months&gt;pers_leave_maxduration,$B$145,""),""),"")</f>
        <v/>
      </c>
      <c r="W222" s="113" t="str">
        <f>IFERROR(IF(AND(INDEX(#REF!,A222)=0,INDEX(salaries_academic[[category]:[1]],MATCH(INDEX(#REF!,A222),salaries_academic[category],0),3)=0),$B$148,""),"")</f>
        <v/>
      </c>
      <c r="X222" s="113" t="e">
        <f>IF(AND(organisation_type="yes",INDEX(#REF!,A222,1)&lt;&gt;"",ISBLANK(INDEX(#REF!,A222,1))),$B$146,"")</f>
        <v>#REF!</v>
      </c>
      <c r="Y222" s="113" t="e">
        <f>IF(AND(organisation_name="yes",INDEX(#REF!,A222,1)&lt;&gt;"",ISBLANK(INDEX(#REF!,A222,1))),$B$147,"")</f>
        <v>#REF!</v>
      </c>
      <c r="Z222" s="113" t="str">
        <f>IFERROR(IF(AND(INDEX(#REF!,A222)&gt;0,INDEX(salaries_academic[[category]:[1]],MATCH(INDEX(#REF!,A222),salaries_academic[category],0),3)&gt;0),$B$149,""),"")</f>
        <v/>
      </c>
    </row>
    <row r="223" spans="1:26" outlineLevel="1" x14ac:dyDescent="0.35">
      <c r="A223" s="113">
        <v>16</v>
      </c>
      <c r="B223" s="113" t="str">
        <f t="array" ref="B223">IFERROR(INDEX(personnel_ac_notes[[#This Row],[Exceeding nr months]:[Costs specified]],1,MATCH(TRUE,LEN(personnel_ac_notes[[#This Row],[Exceeding nr months]:[Costs specified]])&gt;0,0)),"")</f>
        <v/>
      </c>
      <c r="C223" s="113" t="str">
        <f>IFERROR(IF(INDEX(#REF!,A223)&gt;Max_project_duration,$B$128,""),"")</f>
        <v/>
      </c>
      <c r="D223" s="113" t="str">
        <f>IFERROR(IF(AND(LEN(INDEX(#REF!,A223))+LEN(INDEX(#REF!,A223))+LEN(INDEX(#REF!,A223))&gt;0,LEN(INDEX(#REF!,A223-1))+LEN(INDEX(#REF!,A223-1))+LEN(INDEX(#REF!,A223-1))=0),$B$127,""),"")</f>
        <v/>
      </c>
      <c r="E223" s="113" t="str">
        <f>IF(AND(NOT(ISBLANK(INDEX(#REF!,A223))),OR(ISBLANK(INDEX(#REF!,A223)),ISBLANK(INDEX(#REF!,A223)))),VLOOKUP(INDEX(#REF!,A223),salaries_academic[],2,FALSE),"")</f>
        <v/>
      </c>
      <c r="F223" s="113" t="str">
        <f>IFERROR(IF(COUNTIF(INDEX(#REF!,A223),"*- PhD*")&gt;0,IF(INDEX(#REF!,A223)*INDEX(#REF!,A223)&lt;pers_PhD_min_months,$B$129,""),""),"")</f>
        <v/>
      </c>
      <c r="G223" s="113" t="str">
        <f>IFERROR(IF(COUNTIF(INDEX(#REF!,$A223),"*- PhD*")&gt;0,IF(INDEX(#REF!,$A223)*INDEX(#REF!,$A223)&gt;pers_PhD_max_months,$B$130,""),""),"")</f>
        <v/>
      </c>
      <c r="H223" s="113" t="str">
        <f>IFERROR(IF(COUNTIF(INDEX(#REF!,A223),"*year*")&gt;0,IF(INDEX(#REF!,A223)*INDEX(#REF!,A223)&lt;pers_3yPhD_min_months,$B$131,""),""),"")</f>
        <v/>
      </c>
      <c r="I223" s="113" t="str">
        <f>IFERROR(IF(COUNTIF(INDEX(#REF!,A223),"*PDEng*")&gt;0,IF(OR(IFERROR(MATCH("*PhD*",#REF!,0),0)&gt;0,IFERROR(MATCH("*PostDoc*",#REF!,0),0)&gt;0),"",$B$132),""),"")</f>
        <v/>
      </c>
      <c r="J223" s="113" t="str">
        <f>IFERROR(IF(COUNTIF(INDEX(#REF!,A223),"*PDEng*")&gt;0,IF(INDEX(#REF!,A223)*INDEX(#REF!,A223)&gt;pers_PDEng_max_months,$B$133,""),""),"")</f>
        <v/>
      </c>
      <c r="K223" s="113" t="str">
        <f>IFERROR(IF(COUNTIF(INDEX(#REF!,A223),"*PostDoc*")&gt;0,IF(INDEX(#REF!,A223)*INDEX(#REF!,A223)&lt;pers_PD_min_months,$B$134,""),""),"")</f>
        <v/>
      </c>
      <c r="L223" s="113" t="str">
        <f>IFERROR(IF(COUNTIF(INDEX(#REF!,A223),"*PostDoc*")&gt;0,IF(INDEX(#REF!,A223)*INDEX(#REF!,A223)&gt;pers_PD_max_months,$B$135,""),""),"")</f>
        <v/>
      </c>
      <c r="M223" s="113" t="str">
        <f>IFERROR(IF(COUNTIF(INDEX(#REF!,A223),"*Non-scientific*")&gt;0,IF(OR(IFERROR(MATCH("*PhD*",#REF!,0),0)&gt;0,IFERROR(MATCH("*PostDoc*",#REF!,0),0)&gt;0),"",$B$136),""),"")</f>
        <v/>
      </c>
      <c r="N223" s="113" t="str">
        <f>IFERROR(IF(COUNTIF(INDEX(#REF!,A223),"*Non-scientific*")&gt;0,IF(Total_NSP&gt;pers_max_NSP,$B$137,""),""),"")</f>
        <v/>
      </c>
      <c r="O223" s="113" t="str">
        <f>IFERROR(IF(COUNTIF(INDEX(#REF!,A223),"*Non-scientific*")&gt;0,IF(INDEX(#REF!,A223)*INDEX(#REF!,A223)&lt;pers_NSP_min_months,$B$138,""),""),"")</f>
        <v/>
      </c>
      <c r="P223" s="113" t="str">
        <f>IFERROR(IF(COUNTIF(INDEX(#REF!,A223),"*Non-scientific*")&gt;0,IF(INDEX(#REF!,A223)*INDEX(#REF!,A223)&gt;pers_NSP_max_months,$B$139,""),""),"")</f>
        <v/>
      </c>
      <c r="Q223" s="113" t="str">
        <f>IFERROR(IF(COUNTIF(INDEX(#REF!,A223),"*Other scientific*")&gt;0,IF(OR(IFERROR(MATCH("*PhD*",#REF!,0),0)&gt;0,IFERROR(MATCH("*PostDoc*",#REF!,0),0)&gt;0),"",$B$140),""),"")</f>
        <v/>
      </c>
      <c r="R223" s="113" t="str">
        <f>IFERROR(IF(COUNTIF(INDEX(#REF!,A223),"*Other scientific*")&gt;0,IF(Total_OSP&gt;pers_max_OSP,$B$141,""),""),"")</f>
        <v/>
      </c>
      <c r="S223" s="113" t="str">
        <f>IFERROR(IF(COUNTIF(INDEX(#REF!,A223),"*Other scientific*")&gt;0,IF(INDEX(#REF!,A223)*INDEX(#REF!,A223)&lt;pers_OSP_min_months,$B$142,""),""),"")</f>
        <v/>
      </c>
      <c r="T223" s="113" t="str">
        <f>IFERROR(IF(COUNTIF(INDEX(#REF!,A223),"*Other scientific*")&gt;0,IF(INDEX(#REF!,A223)*INDEX(#REF!,A223)&gt;pers_OSP_max_months,$B$143,""),""),"")</f>
        <v/>
      </c>
      <c r="U223" s="113" t="str">
        <f>IFERROR(IF(COUNTIF(INDEX(#REF!,A223),"*leave*")&gt;0,IF(Total_Research_leave&gt;pers_leave_maxperc*Total_NWO_funding,$B$144,""),""),"")</f>
        <v/>
      </c>
      <c r="V223" s="113" t="str">
        <f>IFERROR(IF(COUNTIF(INDEX(#REF!,A223),"*leave*")&gt;0,IF(Research_leave_FTE_months&gt;pers_leave_maxduration,$B$145,""),""),"")</f>
        <v/>
      </c>
      <c r="W223" s="113" t="str">
        <f>IFERROR(IF(AND(INDEX(#REF!,A223)=0,INDEX(salaries_academic[[category]:[1]],MATCH(INDEX(#REF!,A223),salaries_academic[category],0),3)=0),$B$148,""),"")</f>
        <v/>
      </c>
      <c r="X223" s="113" t="e">
        <f>IF(AND(organisation_type="yes",INDEX(#REF!,A223,1)&lt;&gt;"",ISBLANK(INDEX(#REF!,A223,1))),$B$146,"")</f>
        <v>#REF!</v>
      </c>
      <c r="Y223" s="113" t="e">
        <f>IF(AND(organisation_name="yes",INDEX(#REF!,A223,1)&lt;&gt;"",ISBLANK(INDEX(#REF!,A223,1))),$B$147,"")</f>
        <v>#REF!</v>
      </c>
      <c r="Z223" s="113" t="str">
        <f>IFERROR(IF(AND(INDEX(#REF!,A223)&gt;0,INDEX(salaries_academic[[category]:[1]],MATCH(INDEX(#REF!,A223),salaries_academic[category],0),3)&gt;0),$B$149,""),"")</f>
        <v/>
      </c>
    </row>
    <row r="224" spans="1:26" outlineLevel="1" x14ac:dyDescent="0.35">
      <c r="A224" s="113">
        <v>17</v>
      </c>
      <c r="B224" s="113" t="str">
        <f t="array" ref="B224">IFERROR(INDEX(personnel_ac_notes[[#This Row],[Exceeding nr months]:[Costs specified]],1,MATCH(TRUE,LEN(personnel_ac_notes[[#This Row],[Exceeding nr months]:[Costs specified]])&gt;0,0)),"")</f>
        <v/>
      </c>
      <c r="C224" s="113" t="str">
        <f>IFERROR(IF(INDEX(#REF!,A224)&gt;Max_project_duration,$B$128,""),"")</f>
        <v/>
      </c>
      <c r="D224" s="113" t="str">
        <f>IFERROR(IF(AND(LEN(INDEX(#REF!,A224))+LEN(INDEX(#REF!,A224))+LEN(INDEX(#REF!,A224))&gt;0,LEN(INDEX(#REF!,A224-1))+LEN(INDEX(#REF!,A224-1))+LEN(INDEX(#REF!,A224-1))=0),$B$127,""),"")</f>
        <v/>
      </c>
      <c r="E224" s="113" t="str">
        <f>IF(AND(NOT(ISBLANK(INDEX(#REF!,A224))),OR(ISBLANK(INDEX(#REF!,A224)),ISBLANK(INDEX(#REF!,A224)))),VLOOKUP(INDEX(#REF!,A224),salaries_academic[],2,FALSE),"")</f>
        <v/>
      </c>
      <c r="F224" s="113" t="str">
        <f>IFERROR(IF(COUNTIF(INDEX(#REF!,A224),"*- PhD*")&gt;0,IF(INDEX(#REF!,A224)*INDEX(#REF!,A224)&lt;pers_PhD_min_months,$B$129,""),""),"")</f>
        <v/>
      </c>
      <c r="G224" s="113" t="str">
        <f>IFERROR(IF(COUNTIF(INDEX(#REF!,$A224),"*- PhD*")&gt;0,IF(INDEX(#REF!,$A224)*INDEX(#REF!,$A224)&gt;pers_PhD_max_months,$B$130,""),""),"")</f>
        <v/>
      </c>
      <c r="H224" s="113" t="str">
        <f>IFERROR(IF(COUNTIF(INDEX(#REF!,A224),"*year*")&gt;0,IF(INDEX(#REF!,A224)*INDEX(#REF!,A224)&lt;pers_3yPhD_min_months,$B$131,""),""),"")</f>
        <v/>
      </c>
      <c r="I224" s="113" t="str">
        <f>IFERROR(IF(COUNTIF(INDEX(#REF!,A224),"*PDEng*")&gt;0,IF(OR(IFERROR(MATCH("*PhD*",#REF!,0),0)&gt;0,IFERROR(MATCH("*PostDoc*",#REF!,0),0)&gt;0),"",$B$132),""),"")</f>
        <v/>
      </c>
      <c r="J224" s="113" t="str">
        <f>IFERROR(IF(COUNTIF(INDEX(#REF!,A224),"*PDEng*")&gt;0,IF(INDEX(#REF!,A224)*INDEX(#REF!,A224)&gt;pers_PDEng_max_months,$B$133,""),""),"")</f>
        <v/>
      </c>
      <c r="K224" s="113" t="str">
        <f>IFERROR(IF(COUNTIF(INDEX(#REF!,A224),"*PostDoc*")&gt;0,IF(INDEX(#REF!,A224)*INDEX(#REF!,A224)&lt;pers_PD_min_months,$B$134,""),""),"")</f>
        <v/>
      </c>
      <c r="L224" s="113" t="str">
        <f>IFERROR(IF(COUNTIF(INDEX(#REF!,A224),"*PostDoc*")&gt;0,IF(INDEX(#REF!,A224)*INDEX(#REF!,A224)&gt;pers_PD_max_months,$B$135,""),""),"")</f>
        <v/>
      </c>
      <c r="M224" s="113" t="str">
        <f>IFERROR(IF(COUNTIF(INDEX(#REF!,A224),"*Non-scientific*")&gt;0,IF(OR(IFERROR(MATCH("*PhD*",#REF!,0),0)&gt;0,IFERROR(MATCH("*PostDoc*",#REF!,0),0)&gt;0),"",$B$136),""),"")</f>
        <v/>
      </c>
      <c r="N224" s="113" t="str">
        <f>IFERROR(IF(COUNTIF(INDEX(#REF!,A224),"*Non-scientific*")&gt;0,IF(Total_NSP&gt;pers_max_NSP,$B$137,""),""),"")</f>
        <v/>
      </c>
      <c r="O224" s="113" t="str">
        <f>IFERROR(IF(COUNTIF(INDEX(#REF!,A224),"*Non-scientific*")&gt;0,IF(INDEX(#REF!,A224)*INDEX(#REF!,A224)&lt;pers_NSP_min_months,$B$138,""),""),"")</f>
        <v/>
      </c>
      <c r="P224" s="113" t="str">
        <f>IFERROR(IF(COUNTIF(INDEX(#REF!,A224),"*Non-scientific*")&gt;0,IF(INDEX(#REF!,A224)*INDEX(#REF!,A224)&gt;pers_NSP_max_months,$B$139,""),""),"")</f>
        <v/>
      </c>
      <c r="Q224" s="113" t="str">
        <f>IFERROR(IF(COUNTIF(INDEX(#REF!,A224),"*Other scientific*")&gt;0,IF(OR(IFERROR(MATCH("*PhD*",#REF!,0),0)&gt;0,IFERROR(MATCH("*PostDoc*",#REF!,0),0)&gt;0),"",$B$140),""),"")</f>
        <v/>
      </c>
      <c r="R224" s="113" t="str">
        <f>IFERROR(IF(COUNTIF(INDEX(#REF!,A224),"*Other scientific*")&gt;0,IF(Total_OSP&gt;pers_max_OSP,$B$141,""),""),"")</f>
        <v/>
      </c>
      <c r="S224" s="113" t="str">
        <f>IFERROR(IF(COUNTIF(INDEX(#REF!,A224),"*Other scientific*")&gt;0,IF(INDEX(#REF!,A224)*INDEX(#REF!,A224)&lt;pers_OSP_min_months,$B$142,""),""),"")</f>
        <v/>
      </c>
      <c r="T224" s="113" t="str">
        <f>IFERROR(IF(COUNTIF(INDEX(#REF!,A224),"*Other scientific*")&gt;0,IF(INDEX(#REF!,A224)*INDEX(#REF!,A224)&gt;pers_OSP_max_months,$B$143,""),""),"")</f>
        <v/>
      </c>
      <c r="U224" s="113" t="str">
        <f>IFERROR(IF(COUNTIF(INDEX(#REF!,A224),"*leave*")&gt;0,IF(Total_Research_leave&gt;pers_leave_maxperc*Total_NWO_funding,$B$144,""),""),"")</f>
        <v/>
      </c>
      <c r="V224" s="113" t="str">
        <f>IFERROR(IF(COUNTIF(INDEX(#REF!,A224),"*leave*")&gt;0,IF(Research_leave_FTE_months&gt;pers_leave_maxduration,$B$145,""),""),"")</f>
        <v/>
      </c>
      <c r="W224" s="113" t="str">
        <f>IFERROR(IF(AND(INDEX(#REF!,A224)=0,INDEX(salaries_academic[[category]:[1]],MATCH(INDEX(#REF!,A224),salaries_academic[category],0),3)=0),$B$148,""),"")</f>
        <v/>
      </c>
      <c r="X224" s="113" t="e">
        <f>IF(AND(organisation_type="yes",INDEX(#REF!,A224,1)&lt;&gt;"",ISBLANK(INDEX(#REF!,A224,1))),$B$146,"")</f>
        <v>#REF!</v>
      </c>
      <c r="Y224" s="113" t="e">
        <f>IF(AND(organisation_name="yes",INDEX(#REF!,A224,1)&lt;&gt;"",ISBLANK(INDEX(#REF!,A224,1))),$B$147,"")</f>
        <v>#REF!</v>
      </c>
      <c r="Z224" s="113" t="str">
        <f>IFERROR(IF(AND(INDEX(#REF!,A224)&gt;0,INDEX(salaries_academic[[category]:[1]],MATCH(INDEX(#REF!,A224),salaries_academic[category],0),3)&gt;0),$B$149,""),"")</f>
        <v/>
      </c>
    </row>
    <row r="225" spans="1:26" outlineLevel="1" x14ac:dyDescent="0.35">
      <c r="A225" s="113">
        <v>18</v>
      </c>
      <c r="B225" s="113" t="str">
        <f t="array" ref="B225">IFERROR(INDEX(personnel_ac_notes[[#This Row],[Exceeding nr months]:[Costs specified]],1,MATCH(TRUE,LEN(personnel_ac_notes[[#This Row],[Exceeding nr months]:[Costs specified]])&gt;0,0)),"")</f>
        <v/>
      </c>
      <c r="C225" s="113" t="str">
        <f>IFERROR(IF(INDEX(#REF!,A225)&gt;Max_project_duration,$B$128,""),"")</f>
        <v/>
      </c>
      <c r="D225" s="113" t="str">
        <f>IFERROR(IF(AND(LEN(INDEX(#REF!,A225))+LEN(INDEX(#REF!,A225))+LEN(INDEX(#REF!,A225))&gt;0,LEN(INDEX(#REF!,A225-1))+LEN(INDEX(#REF!,A225-1))+LEN(INDEX(#REF!,A225-1))=0),$B$127,""),"")</f>
        <v/>
      </c>
      <c r="E225" s="113" t="str">
        <f>IF(AND(NOT(ISBLANK(INDEX(#REF!,A225))),OR(ISBLANK(INDEX(#REF!,A225)),ISBLANK(INDEX(#REF!,A225)))),VLOOKUP(INDEX(#REF!,A225),salaries_academic[],2,FALSE),"")</f>
        <v/>
      </c>
      <c r="F225" s="113" t="str">
        <f>IFERROR(IF(COUNTIF(INDEX(#REF!,A225),"*- PhD*")&gt;0,IF(INDEX(#REF!,A225)*INDEX(#REF!,A225)&lt;pers_PhD_min_months,$B$129,""),""),"")</f>
        <v/>
      </c>
      <c r="G225" s="113" t="str">
        <f>IFERROR(IF(COUNTIF(INDEX(#REF!,$A225),"*- PhD*")&gt;0,IF(INDEX(#REF!,$A225)*INDEX(#REF!,$A225)&gt;pers_PhD_max_months,$B$130,""),""),"")</f>
        <v/>
      </c>
      <c r="H225" s="113" t="str">
        <f>IFERROR(IF(COUNTIF(INDEX(#REF!,A225),"*year*")&gt;0,IF(INDEX(#REF!,A225)*INDEX(#REF!,A225)&lt;pers_3yPhD_min_months,$B$131,""),""),"")</f>
        <v/>
      </c>
      <c r="I225" s="113" t="str">
        <f>IFERROR(IF(COUNTIF(INDEX(#REF!,A225),"*PDEng*")&gt;0,IF(OR(IFERROR(MATCH("*PhD*",#REF!,0),0)&gt;0,IFERROR(MATCH("*PostDoc*",#REF!,0),0)&gt;0),"",$B$132),""),"")</f>
        <v/>
      </c>
      <c r="J225" s="113" t="str">
        <f>IFERROR(IF(COUNTIF(INDEX(#REF!,A225),"*PDEng*")&gt;0,IF(INDEX(#REF!,A225)*INDEX(#REF!,A225)&gt;pers_PDEng_max_months,$B$133,""),""),"")</f>
        <v/>
      </c>
      <c r="K225" s="113" t="str">
        <f>IFERROR(IF(COUNTIF(INDEX(#REF!,A225),"*PostDoc*")&gt;0,IF(INDEX(#REF!,A225)*INDEX(#REF!,A225)&lt;pers_PD_min_months,$B$134,""),""),"")</f>
        <v/>
      </c>
      <c r="L225" s="113" t="str">
        <f>IFERROR(IF(COUNTIF(INDEX(#REF!,A225),"*PostDoc*")&gt;0,IF(INDEX(#REF!,A225)*INDEX(#REF!,A225)&gt;pers_PD_max_months,$B$135,""),""),"")</f>
        <v/>
      </c>
      <c r="M225" s="113" t="str">
        <f>IFERROR(IF(COUNTIF(INDEX(#REF!,A225),"*Non-scientific*")&gt;0,IF(OR(IFERROR(MATCH("*PhD*",#REF!,0),0)&gt;0,IFERROR(MATCH("*PostDoc*",#REF!,0),0)&gt;0),"",$B$136),""),"")</f>
        <v/>
      </c>
      <c r="N225" s="113" t="str">
        <f>IFERROR(IF(COUNTIF(INDEX(#REF!,A225),"*Non-scientific*")&gt;0,IF(Total_NSP&gt;pers_max_NSP,$B$137,""),""),"")</f>
        <v/>
      </c>
      <c r="O225" s="113" t="str">
        <f>IFERROR(IF(COUNTIF(INDEX(#REF!,A225),"*Non-scientific*")&gt;0,IF(INDEX(#REF!,A225)*INDEX(#REF!,A225)&lt;pers_NSP_min_months,$B$138,""),""),"")</f>
        <v/>
      </c>
      <c r="P225" s="113" t="str">
        <f>IFERROR(IF(COUNTIF(INDEX(#REF!,A225),"*Non-scientific*")&gt;0,IF(INDEX(#REF!,A225)*INDEX(#REF!,A225)&gt;pers_NSP_max_months,$B$139,""),""),"")</f>
        <v/>
      </c>
      <c r="Q225" s="113" t="str">
        <f>IFERROR(IF(COUNTIF(INDEX(#REF!,A225),"*Other scientific*")&gt;0,IF(OR(IFERROR(MATCH("*PhD*",#REF!,0),0)&gt;0,IFERROR(MATCH("*PostDoc*",#REF!,0),0)&gt;0),"",$B$140),""),"")</f>
        <v/>
      </c>
      <c r="R225" s="113" t="str">
        <f>IFERROR(IF(COUNTIF(INDEX(#REF!,A225),"*Other scientific*")&gt;0,IF(Total_OSP&gt;pers_max_OSP,$B$141,""),""),"")</f>
        <v/>
      </c>
      <c r="S225" s="113" t="str">
        <f>IFERROR(IF(COUNTIF(INDEX(#REF!,A225),"*Other scientific*")&gt;0,IF(INDEX(#REF!,A225)*INDEX(#REF!,A225)&lt;pers_OSP_min_months,$B$142,""),""),"")</f>
        <v/>
      </c>
      <c r="T225" s="113" t="str">
        <f>IFERROR(IF(COUNTIF(INDEX(#REF!,A225),"*Other scientific*")&gt;0,IF(INDEX(#REF!,A225)*INDEX(#REF!,A225)&gt;pers_OSP_max_months,$B$143,""),""),"")</f>
        <v/>
      </c>
      <c r="U225" s="113" t="str">
        <f>IFERROR(IF(COUNTIF(INDEX(#REF!,A225),"*leave*")&gt;0,IF(Total_Research_leave&gt;pers_leave_maxperc*Total_NWO_funding,$B$144,""),""),"")</f>
        <v/>
      </c>
      <c r="V225" s="113" t="str">
        <f>IFERROR(IF(COUNTIF(INDEX(#REF!,A225),"*leave*")&gt;0,IF(Research_leave_FTE_months&gt;pers_leave_maxduration,$B$145,""),""),"")</f>
        <v/>
      </c>
      <c r="W225" s="113" t="str">
        <f>IFERROR(IF(AND(INDEX(#REF!,A225)=0,INDEX(salaries_academic[[category]:[1]],MATCH(INDEX(#REF!,A225),salaries_academic[category],0),3)=0),$B$148,""),"")</f>
        <v/>
      </c>
      <c r="X225" s="113" t="e">
        <f>IF(AND(organisation_type="yes",INDEX(#REF!,A225,1)&lt;&gt;"",ISBLANK(INDEX(#REF!,A225,1))),$B$146,"")</f>
        <v>#REF!</v>
      </c>
      <c r="Y225" s="113" t="e">
        <f>IF(AND(organisation_name="yes",INDEX(#REF!,A225,1)&lt;&gt;"",ISBLANK(INDEX(#REF!,A225,1))),$B$147,"")</f>
        <v>#REF!</v>
      </c>
      <c r="Z225" s="113" t="str">
        <f>IFERROR(IF(AND(INDEX(#REF!,A225)&gt;0,INDEX(salaries_academic[[category]:[1]],MATCH(INDEX(#REF!,A225),salaries_academic[category],0),3)&gt;0),$B$149,""),"")</f>
        <v/>
      </c>
    </row>
    <row r="226" spans="1:26" outlineLevel="1" x14ac:dyDescent="0.35">
      <c r="A226" s="113">
        <v>19</v>
      </c>
      <c r="B226" s="113" t="str">
        <f t="array" ref="B226">IFERROR(INDEX(personnel_ac_notes[[#This Row],[Exceeding nr months]:[Costs specified]],1,MATCH(TRUE,LEN(personnel_ac_notes[[#This Row],[Exceeding nr months]:[Costs specified]])&gt;0,0)),"")</f>
        <v/>
      </c>
      <c r="C226" s="113" t="str">
        <f>IFERROR(IF(INDEX(#REF!,A226)&gt;Max_project_duration,$B$128,""),"")</f>
        <v/>
      </c>
      <c r="D226" s="113" t="str">
        <f>IFERROR(IF(AND(LEN(INDEX(#REF!,A226))+LEN(INDEX(#REF!,A226))+LEN(INDEX(#REF!,A226))&gt;0,LEN(INDEX(#REF!,A226-1))+LEN(INDEX(#REF!,A226-1))+LEN(INDEX(#REF!,A226-1))=0),$B$127,""),"")</f>
        <v/>
      </c>
      <c r="E226" s="113" t="str">
        <f>IF(AND(NOT(ISBLANK(INDEX(#REF!,A226))),OR(ISBLANK(INDEX(#REF!,A226)),ISBLANK(INDEX(#REF!,A226)))),VLOOKUP(INDEX(#REF!,A226),salaries_academic[],2,FALSE),"")</f>
        <v/>
      </c>
      <c r="F226" s="113" t="str">
        <f>IFERROR(IF(COUNTIF(INDEX(#REF!,A226),"*- PhD*")&gt;0,IF(INDEX(#REF!,A226)*INDEX(#REF!,A226)&lt;pers_PhD_min_months,$B$129,""),""),"")</f>
        <v/>
      </c>
      <c r="G226" s="113" t="str">
        <f>IFERROR(IF(COUNTIF(INDEX(#REF!,$A226),"*- PhD*")&gt;0,IF(INDEX(#REF!,$A226)*INDEX(#REF!,$A226)&gt;pers_PhD_max_months,$B$130,""),""),"")</f>
        <v/>
      </c>
      <c r="H226" s="113" t="str">
        <f>IFERROR(IF(COUNTIF(INDEX(#REF!,A226),"*year*")&gt;0,IF(INDEX(#REF!,A226)*INDEX(#REF!,A226)&lt;pers_3yPhD_min_months,$B$131,""),""),"")</f>
        <v/>
      </c>
      <c r="I226" s="113" t="str">
        <f>IFERROR(IF(COUNTIF(INDEX(#REF!,A226),"*PDEng*")&gt;0,IF(OR(IFERROR(MATCH("*PhD*",#REF!,0),0)&gt;0,IFERROR(MATCH("*PostDoc*",#REF!,0),0)&gt;0),"",$B$132),""),"")</f>
        <v/>
      </c>
      <c r="J226" s="113" t="str">
        <f>IFERROR(IF(COUNTIF(INDEX(#REF!,A226),"*PDEng*")&gt;0,IF(INDEX(#REF!,A226)*INDEX(#REF!,A226)&gt;pers_PDEng_max_months,$B$133,""),""),"")</f>
        <v/>
      </c>
      <c r="K226" s="113" t="str">
        <f>IFERROR(IF(COUNTIF(INDEX(#REF!,A226),"*PostDoc*")&gt;0,IF(INDEX(#REF!,A226)*INDEX(#REF!,A226)&lt;pers_PD_min_months,$B$134,""),""),"")</f>
        <v/>
      </c>
      <c r="L226" s="113" t="str">
        <f>IFERROR(IF(COUNTIF(INDEX(#REF!,A226),"*PostDoc*")&gt;0,IF(INDEX(#REF!,A226)*INDEX(#REF!,A226)&gt;pers_PD_max_months,$B$135,""),""),"")</f>
        <v/>
      </c>
      <c r="M226" s="113" t="str">
        <f>IFERROR(IF(COUNTIF(INDEX(#REF!,A226),"*Non-scientific*")&gt;0,IF(OR(IFERROR(MATCH("*PhD*",#REF!,0),0)&gt;0,IFERROR(MATCH("*PostDoc*",#REF!,0),0)&gt;0),"",$B$136),""),"")</f>
        <v/>
      </c>
      <c r="N226" s="113" t="str">
        <f>IFERROR(IF(COUNTIF(INDEX(#REF!,A226),"*Non-scientific*")&gt;0,IF(Total_NSP&gt;pers_max_NSP,$B$137,""),""),"")</f>
        <v/>
      </c>
      <c r="O226" s="113" t="str">
        <f>IFERROR(IF(COUNTIF(INDEX(#REF!,A226),"*Non-scientific*")&gt;0,IF(INDEX(#REF!,A226)*INDEX(#REF!,A226)&lt;pers_NSP_min_months,$B$138,""),""),"")</f>
        <v/>
      </c>
      <c r="P226" s="113" t="str">
        <f>IFERROR(IF(COUNTIF(INDEX(#REF!,A226),"*Non-scientific*")&gt;0,IF(INDEX(#REF!,A226)*INDEX(#REF!,A226)&gt;pers_NSP_max_months,$B$139,""),""),"")</f>
        <v/>
      </c>
      <c r="Q226" s="113" t="str">
        <f>IFERROR(IF(COUNTIF(INDEX(#REF!,A226),"*Other scientific*")&gt;0,IF(OR(IFERROR(MATCH("*PhD*",#REF!,0),0)&gt;0,IFERROR(MATCH("*PostDoc*",#REF!,0),0)&gt;0),"",$B$140),""),"")</f>
        <v/>
      </c>
      <c r="R226" s="113" t="str">
        <f>IFERROR(IF(COUNTIF(INDEX(#REF!,A226),"*Other scientific*")&gt;0,IF(Total_OSP&gt;pers_max_OSP,$B$141,""),""),"")</f>
        <v/>
      </c>
      <c r="S226" s="113" t="str">
        <f>IFERROR(IF(COUNTIF(INDEX(#REF!,A226),"*Other scientific*")&gt;0,IF(INDEX(#REF!,A226)*INDEX(#REF!,A226)&lt;pers_OSP_min_months,$B$142,""),""),"")</f>
        <v/>
      </c>
      <c r="T226" s="113" t="str">
        <f>IFERROR(IF(COUNTIF(INDEX(#REF!,A226),"*Other scientific*")&gt;0,IF(INDEX(#REF!,A226)*INDEX(#REF!,A226)&gt;pers_OSP_max_months,$B$143,""),""),"")</f>
        <v/>
      </c>
      <c r="U226" s="113" t="str">
        <f>IFERROR(IF(COUNTIF(INDEX(#REF!,A226),"*leave*")&gt;0,IF(Total_Research_leave&gt;pers_leave_maxperc*Total_NWO_funding,$B$144,""),""),"")</f>
        <v/>
      </c>
      <c r="V226" s="113" t="str">
        <f>IFERROR(IF(COUNTIF(INDEX(#REF!,A226),"*leave*")&gt;0,IF(Research_leave_FTE_months&gt;pers_leave_maxduration,$B$145,""),""),"")</f>
        <v/>
      </c>
      <c r="W226" s="113" t="str">
        <f>IFERROR(IF(AND(INDEX(#REF!,A226)=0,INDEX(salaries_academic[[category]:[1]],MATCH(INDEX(#REF!,A226),salaries_academic[category],0),3)=0),$B$148,""),"")</f>
        <v/>
      </c>
      <c r="X226" s="113" t="e">
        <f>IF(AND(organisation_type="yes",INDEX(#REF!,A226,1)&lt;&gt;"",ISBLANK(INDEX(#REF!,A226,1))),$B$146,"")</f>
        <v>#REF!</v>
      </c>
      <c r="Y226" s="113" t="e">
        <f>IF(AND(organisation_name="yes",INDEX(#REF!,A226,1)&lt;&gt;"",ISBLANK(INDEX(#REF!,A226,1))),$B$147,"")</f>
        <v>#REF!</v>
      </c>
      <c r="Z226" s="113" t="str">
        <f>IFERROR(IF(AND(INDEX(#REF!,A226)&gt;0,INDEX(salaries_academic[[category]:[1]],MATCH(INDEX(#REF!,A226),salaries_academic[category],0),3)&gt;0),$B$149,""),"")</f>
        <v/>
      </c>
    </row>
    <row r="227" spans="1:26" outlineLevel="1" x14ac:dyDescent="0.35">
      <c r="A227" s="113">
        <v>20</v>
      </c>
      <c r="B227" s="113" t="str">
        <f t="array" ref="B227">IFERROR(INDEX(personnel_ac_notes[[#This Row],[Exceeding nr months]:[Costs specified]],1,MATCH(TRUE,LEN(personnel_ac_notes[[#This Row],[Exceeding nr months]:[Costs specified]])&gt;0,0)),"")</f>
        <v/>
      </c>
      <c r="C227" s="113" t="str">
        <f>IFERROR(IF(INDEX(#REF!,A227)&gt;Max_project_duration,$B$128,""),"")</f>
        <v/>
      </c>
      <c r="D227" s="113" t="str">
        <f>IFERROR(IF(AND(LEN(INDEX(#REF!,A227))+LEN(INDEX(#REF!,A227))+LEN(INDEX(#REF!,A227))&gt;0,LEN(INDEX(#REF!,A227-1))+LEN(INDEX(#REF!,A227-1))+LEN(INDEX(#REF!,A227-1))=0),$B$127,""),"")</f>
        <v/>
      </c>
      <c r="E227" s="113" t="str">
        <f>IF(AND(NOT(ISBLANK(INDEX(#REF!,A227))),OR(ISBLANK(INDEX(#REF!,A227)),ISBLANK(INDEX(#REF!,A227)))),VLOOKUP(INDEX(#REF!,A227),salaries_academic[],2,FALSE),"")</f>
        <v/>
      </c>
      <c r="F227" s="113" t="str">
        <f>IFERROR(IF(COUNTIF(INDEX(#REF!,A227),"*- PhD*")&gt;0,IF(INDEX(#REF!,A227)*INDEX(#REF!,A227)&lt;pers_PhD_min_months,$B$129,""),""),"")</f>
        <v/>
      </c>
      <c r="G227" s="113" t="str">
        <f>IFERROR(IF(COUNTIF(INDEX(#REF!,$A227),"*- PhD*")&gt;0,IF(INDEX(#REF!,$A227)*INDEX(#REF!,$A227)&gt;pers_PhD_max_months,$B$130,""),""),"")</f>
        <v/>
      </c>
      <c r="H227" s="113" t="str">
        <f>IFERROR(IF(COUNTIF(INDEX(#REF!,A227),"*year*")&gt;0,IF(INDEX(#REF!,A227)*INDEX(#REF!,A227)&lt;pers_3yPhD_min_months,$B$131,""),""),"")</f>
        <v/>
      </c>
      <c r="I227" s="113" t="str">
        <f>IFERROR(IF(COUNTIF(INDEX(#REF!,A227),"*PDEng*")&gt;0,IF(OR(IFERROR(MATCH("*PhD*",#REF!,0),0)&gt;0,IFERROR(MATCH("*PostDoc*",#REF!,0),0)&gt;0),"",$B$132),""),"")</f>
        <v/>
      </c>
      <c r="J227" s="113" t="str">
        <f>IFERROR(IF(COUNTIF(INDEX(#REF!,A227),"*PDEng*")&gt;0,IF(INDEX(#REF!,A227)*INDEX(#REF!,A227)&gt;pers_PDEng_max_months,$B$133,""),""),"")</f>
        <v/>
      </c>
      <c r="K227" s="113" t="str">
        <f>IFERROR(IF(COUNTIF(INDEX(#REF!,A227),"*PostDoc*")&gt;0,IF(INDEX(#REF!,A227)*INDEX(#REF!,A227)&lt;pers_PD_min_months,$B$134,""),""),"")</f>
        <v/>
      </c>
      <c r="L227" s="113" t="str">
        <f>IFERROR(IF(COUNTIF(INDEX(#REF!,A227),"*PostDoc*")&gt;0,IF(INDEX(#REF!,A227)*INDEX(#REF!,A227)&gt;pers_PD_max_months,$B$135,""),""),"")</f>
        <v/>
      </c>
      <c r="M227" s="113" t="str">
        <f>IFERROR(IF(COUNTIF(INDEX(#REF!,A227),"*Non-scientific*")&gt;0,IF(OR(IFERROR(MATCH("*PhD*",#REF!,0),0)&gt;0,IFERROR(MATCH("*PostDoc*",#REF!,0),0)&gt;0),"",$B$136),""),"")</f>
        <v/>
      </c>
      <c r="N227" s="113" t="str">
        <f>IFERROR(IF(COUNTIF(INDEX(#REF!,A227),"*Non-scientific*")&gt;0,IF(Total_NSP&gt;pers_max_NSP,$B$137,""),""),"")</f>
        <v/>
      </c>
      <c r="O227" s="113" t="str">
        <f>IFERROR(IF(COUNTIF(INDEX(#REF!,A227),"*Non-scientific*")&gt;0,IF(INDEX(#REF!,A227)*INDEX(#REF!,A227)&lt;pers_NSP_min_months,$B$138,""),""),"")</f>
        <v/>
      </c>
      <c r="P227" s="113" t="str">
        <f>IFERROR(IF(COUNTIF(INDEX(#REF!,A227),"*Non-scientific*")&gt;0,IF(INDEX(#REF!,A227)*INDEX(#REF!,A227)&gt;pers_NSP_max_months,$B$139,""),""),"")</f>
        <v/>
      </c>
      <c r="Q227" s="113" t="str">
        <f>IFERROR(IF(COUNTIF(INDEX(#REF!,A227),"*Other scientific*")&gt;0,IF(OR(IFERROR(MATCH("*PhD*",#REF!,0),0)&gt;0,IFERROR(MATCH("*PostDoc*",#REF!,0),0)&gt;0),"",$B$140),""),"")</f>
        <v/>
      </c>
      <c r="R227" s="113" t="str">
        <f>IFERROR(IF(COUNTIF(INDEX(#REF!,A227),"*Other scientific*")&gt;0,IF(Total_OSP&gt;pers_max_OSP,$B$141,""),""),"")</f>
        <v/>
      </c>
      <c r="S227" s="113" t="str">
        <f>IFERROR(IF(COUNTIF(INDEX(#REF!,A227),"*Other scientific*")&gt;0,IF(INDEX(#REF!,A227)*INDEX(#REF!,A227)&lt;pers_OSP_min_months,$B$142,""),""),"")</f>
        <v/>
      </c>
      <c r="T227" s="113" t="str">
        <f>IFERROR(IF(COUNTIF(INDEX(#REF!,A227),"*Other scientific*")&gt;0,IF(INDEX(#REF!,A227)*INDEX(#REF!,A227)&gt;pers_OSP_max_months,$B$143,""),""),"")</f>
        <v/>
      </c>
      <c r="U227" s="113" t="str">
        <f>IFERROR(IF(COUNTIF(INDEX(#REF!,A227),"*leave*")&gt;0,IF(Total_Research_leave&gt;pers_leave_maxperc*Total_NWO_funding,$B$144,""),""),"")</f>
        <v/>
      </c>
      <c r="V227" s="113" t="str">
        <f>IFERROR(IF(COUNTIF(INDEX(#REF!,A227),"*leave*")&gt;0,IF(Research_leave_FTE_months&gt;pers_leave_maxduration,$B$145,""),""),"")</f>
        <v/>
      </c>
      <c r="W227" s="113" t="str">
        <f>IFERROR(IF(AND(INDEX(#REF!,A227)=0,INDEX(salaries_academic[[category]:[1]],MATCH(INDEX(#REF!,A227),salaries_academic[category],0),3)=0),$B$148,""),"")</f>
        <v/>
      </c>
      <c r="X227" s="113" t="e">
        <f>IF(AND(organisation_type="yes",INDEX(#REF!,A227,1)&lt;&gt;"",ISBLANK(INDEX(#REF!,A227,1))),$B$146,"")</f>
        <v>#REF!</v>
      </c>
      <c r="Y227" s="113" t="e">
        <f>IF(AND(organisation_name="yes",INDEX(#REF!,A227,1)&lt;&gt;"",ISBLANK(INDEX(#REF!,A227,1))),$B$147,"")</f>
        <v>#REF!</v>
      </c>
      <c r="Z227" s="113" t="str">
        <f>IFERROR(IF(AND(INDEX(#REF!,A227)&gt;0,INDEX(salaries_academic[[category]:[1]],MATCH(INDEX(#REF!,A227),salaries_academic[category],0),3)&gt;0),$B$149,""),"")</f>
        <v/>
      </c>
    </row>
    <row r="228" spans="1:26" outlineLevel="1" x14ac:dyDescent="0.35">
      <c r="A228" s="113">
        <v>21</v>
      </c>
      <c r="B228" s="113" t="str">
        <f t="array" ref="B228">IFERROR(INDEX(personnel_ac_notes[[#This Row],[Exceeding nr months]:[Costs specified]],1,MATCH(TRUE,LEN(personnel_ac_notes[[#This Row],[Exceeding nr months]:[Costs specified]])&gt;0,0)),"")</f>
        <v/>
      </c>
      <c r="C228" s="113" t="str">
        <f>IFERROR(IF(INDEX(#REF!,A228)&gt;Max_project_duration,$B$128,""),"")</f>
        <v/>
      </c>
      <c r="D228" s="113" t="str">
        <f>IFERROR(IF(AND(LEN(INDEX(#REF!,A228))+LEN(INDEX(#REF!,A228))+LEN(INDEX(#REF!,A228))&gt;0,LEN(INDEX(#REF!,A228-1))+LEN(INDEX(#REF!,A228-1))+LEN(INDEX(#REF!,A228-1))=0),$B$127,""),"")</f>
        <v/>
      </c>
      <c r="E228" s="113" t="str">
        <f>IF(AND(NOT(ISBLANK(INDEX(#REF!,A228))),OR(ISBLANK(INDEX(#REF!,A228)),ISBLANK(INDEX(#REF!,A228)))),VLOOKUP(INDEX(#REF!,A228),salaries_academic[],2,FALSE),"")</f>
        <v/>
      </c>
      <c r="F228" s="113" t="str">
        <f>IFERROR(IF(COUNTIF(INDEX(#REF!,A228),"*- PhD*")&gt;0,IF(INDEX(#REF!,A228)*INDEX(#REF!,A228)&lt;pers_PhD_min_months,$B$129,""),""),"")</f>
        <v/>
      </c>
      <c r="G228" s="113" t="str">
        <f>IFERROR(IF(COUNTIF(INDEX(#REF!,$A228),"*- PhD*")&gt;0,IF(INDEX(#REF!,$A228)*INDEX(#REF!,$A228)&gt;pers_PhD_max_months,$B$130,""),""),"")</f>
        <v/>
      </c>
      <c r="H228" s="113" t="str">
        <f>IFERROR(IF(COUNTIF(INDEX(#REF!,A228),"*year*")&gt;0,IF(INDEX(#REF!,A228)*INDEX(#REF!,A228)&lt;pers_3yPhD_min_months,$B$131,""),""),"")</f>
        <v/>
      </c>
      <c r="I228" s="113" t="str">
        <f>IFERROR(IF(COUNTIF(INDEX(#REF!,A228),"*PDEng*")&gt;0,IF(OR(IFERROR(MATCH("*PhD*",#REF!,0),0)&gt;0,IFERROR(MATCH("*PostDoc*",#REF!,0),0)&gt;0),"",$B$132),""),"")</f>
        <v/>
      </c>
      <c r="J228" s="113" t="str">
        <f>IFERROR(IF(COUNTIF(INDEX(#REF!,A228),"*PDEng*")&gt;0,IF(INDEX(#REF!,A228)*INDEX(#REF!,A228)&gt;pers_PDEng_max_months,$B$133,""),""),"")</f>
        <v/>
      </c>
      <c r="K228" s="113" t="str">
        <f>IFERROR(IF(COUNTIF(INDEX(#REF!,A228),"*PostDoc*")&gt;0,IF(INDEX(#REF!,A228)*INDEX(#REF!,A228)&lt;pers_PD_min_months,$B$134,""),""),"")</f>
        <v/>
      </c>
      <c r="L228" s="113" t="str">
        <f>IFERROR(IF(COUNTIF(INDEX(#REF!,A228),"*PostDoc*")&gt;0,IF(INDEX(#REF!,A228)*INDEX(#REF!,A228)&gt;pers_PD_max_months,$B$135,""),""),"")</f>
        <v/>
      </c>
      <c r="M228" s="113" t="str">
        <f>IFERROR(IF(COUNTIF(INDEX(#REF!,A228),"*Non-scientific*")&gt;0,IF(OR(IFERROR(MATCH("*PhD*",#REF!,0),0)&gt;0,IFERROR(MATCH("*PostDoc*",#REF!,0),0)&gt;0),"",$B$136),""),"")</f>
        <v/>
      </c>
      <c r="N228" s="113" t="str">
        <f>IFERROR(IF(COUNTIF(INDEX(#REF!,A228),"*Non-scientific*")&gt;0,IF(Total_NSP&gt;pers_max_NSP,$B$137,""),""),"")</f>
        <v/>
      </c>
      <c r="O228" s="113" t="str">
        <f>IFERROR(IF(COUNTIF(INDEX(#REF!,A228),"*Non-scientific*")&gt;0,IF(INDEX(#REF!,A228)*INDEX(#REF!,A228)&lt;pers_NSP_min_months,$B$138,""),""),"")</f>
        <v/>
      </c>
      <c r="P228" s="113" t="str">
        <f>IFERROR(IF(COUNTIF(INDEX(#REF!,A228),"*Non-scientific*")&gt;0,IF(INDEX(#REF!,A228)*INDEX(#REF!,A228)&gt;pers_NSP_max_months,$B$139,""),""),"")</f>
        <v/>
      </c>
      <c r="Q228" s="113" t="str">
        <f>IFERROR(IF(COUNTIF(INDEX(#REF!,A228),"*Other scientific*")&gt;0,IF(OR(IFERROR(MATCH("*PhD*",#REF!,0),0)&gt;0,IFERROR(MATCH("*PostDoc*",#REF!,0),0)&gt;0),"",$B$140),""),"")</f>
        <v/>
      </c>
      <c r="R228" s="113" t="str">
        <f>IFERROR(IF(COUNTIF(INDEX(#REF!,A228),"*Other scientific*")&gt;0,IF(Total_OSP&gt;pers_max_OSP,$B$141,""),""),"")</f>
        <v/>
      </c>
      <c r="S228" s="113" t="str">
        <f>IFERROR(IF(COUNTIF(INDEX(#REF!,A228),"*Other scientific*")&gt;0,IF(INDEX(#REF!,A228)*INDEX(#REF!,A228)&lt;pers_OSP_min_months,$B$142,""),""),"")</f>
        <v/>
      </c>
      <c r="T228" s="113" t="str">
        <f>IFERROR(IF(COUNTIF(INDEX(#REF!,A228),"*Other scientific*")&gt;0,IF(INDEX(#REF!,A228)*INDEX(#REF!,A228)&gt;pers_OSP_max_months,$B$143,""),""),"")</f>
        <v/>
      </c>
      <c r="U228" s="113" t="str">
        <f>IFERROR(IF(COUNTIF(INDEX(#REF!,A228),"*leave*")&gt;0,IF(Total_Research_leave&gt;pers_leave_maxperc*Total_NWO_funding,$B$144,""),""),"")</f>
        <v/>
      </c>
      <c r="V228" s="113" t="str">
        <f>IFERROR(IF(COUNTIF(INDEX(#REF!,A228),"*leave*")&gt;0,IF(Research_leave_FTE_months&gt;pers_leave_maxduration,$B$145,""),""),"")</f>
        <v/>
      </c>
      <c r="W228" s="113" t="str">
        <f>IFERROR(IF(AND(INDEX(#REF!,A228)=0,INDEX(salaries_academic[[category]:[1]],MATCH(INDEX(#REF!,A228),salaries_academic[category],0),3)=0),$B$148,""),"")</f>
        <v/>
      </c>
      <c r="X228" s="113" t="e">
        <f>IF(AND(organisation_type="yes",INDEX(#REF!,A228,1)&lt;&gt;"",ISBLANK(INDEX(#REF!,A228,1))),$B$146,"")</f>
        <v>#REF!</v>
      </c>
      <c r="Y228" s="113" t="e">
        <f>IF(AND(organisation_name="yes",INDEX(#REF!,A228,1)&lt;&gt;"",ISBLANK(INDEX(#REF!,A228,1))),$B$147,"")</f>
        <v>#REF!</v>
      </c>
      <c r="Z228" s="113" t="str">
        <f>IFERROR(IF(AND(INDEX(#REF!,A228)&gt;0,INDEX(salaries_academic[[category]:[1]],MATCH(INDEX(#REF!,A228),salaries_academic[category],0),3)&gt;0),$B$149,""),"")</f>
        <v/>
      </c>
    </row>
    <row r="229" spans="1:26" outlineLevel="1" x14ac:dyDescent="0.35">
      <c r="A229" s="113">
        <v>22</v>
      </c>
      <c r="B229" s="113" t="str">
        <f t="array" ref="B229">IFERROR(INDEX(personnel_ac_notes[[#This Row],[Exceeding nr months]:[Costs specified]],1,MATCH(TRUE,LEN(personnel_ac_notes[[#This Row],[Exceeding nr months]:[Costs specified]])&gt;0,0)),"")</f>
        <v/>
      </c>
      <c r="C229" s="113" t="str">
        <f>IFERROR(IF(INDEX(#REF!,A229)&gt;Max_project_duration,$B$128,""),"")</f>
        <v/>
      </c>
      <c r="D229" s="113" t="str">
        <f>IFERROR(IF(AND(LEN(INDEX(#REF!,A229))+LEN(INDEX(#REF!,A229))+LEN(INDEX(#REF!,A229))&gt;0,LEN(INDEX(#REF!,A229-1))+LEN(INDEX(#REF!,A229-1))+LEN(INDEX(#REF!,A229-1))=0),$B$127,""),"")</f>
        <v/>
      </c>
      <c r="E229" s="113" t="str">
        <f>IF(AND(NOT(ISBLANK(INDEX(#REF!,A229))),OR(ISBLANK(INDEX(#REF!,A229)),ISBLANK(INDEX(#REF!,A229)))),VLOOKUP(INDEX(#REF!,A229),salaries_academic[],2,FALSE),"")</f>
        <v/>
      </c>
      <c r="F229" s="113" t="str">
        <f>IFERROR(IF(COUNTIF(INDEX(#REF!,A229),"*- PhD*")&gt;0,IF(INDEX(#REF!,A229)*INDEX(#REF!,A229)&lt;pers_PhD_min_months,$B$129,""),""),"")</f>
        <v/>
      </c>
      <c r="G229" s="113" t="str">
        <f>IFERROR(IF(COUNTIF(INDEX(#REF!,$A229),"*- PhD*")&gt;0,IF(INDEX(#REF!,$A229)*INDEX(#REF!,$A229)&gt;pers_PhD_max_months,$B$130,""),""),"")</f>
        <v/>
      </c>
      <c r="H229" s="113" t="str">
        <f>IFERROR(IF(COUNTIF(INDEX(#REF!,A229),"*year*")&gt;0,IF(INDEX(#REF!,A229)*INDEX(#REF!,A229)&lt;pers_3yPhD_min_months,$B$131,""),""),"")</f>
        <v/>
      </c>
      <c r="I229" s="113" t="str">
        <f>IFERROR(IF(COUNTIF(INDEX(#REF!,A229),"*PDEng*")&gt;0,IF(OR(IFERROR(MATCH("*PhD*",#REF!,0),0)&gt;0,IFERROR(MATCH("*PostDoc*",#REF!,0),0)&gt;0),"",$B$132),""),"")</f>
        <v/>
      </c>
      <c r="J229" s="113" t="str">
        <f>IFERROR(IF(COUNTIF(INDEX(#REF!,A229),"*PDEng*")&gt;0,IF(INDEX(#REF!,A229)*INDEX(#REF!,A229)&gt;pers_PDEng_max_months,$B$133,""),""),"")</f>
        <v/>
      </c>
      <c r="K229" s="113" t="str">
        <f>IFERROR(IF(COUNTIF(INDEX(#REF!,A229),"*PostDoc*")&gt;0,IF(INDEX(#REF!,A229)*INDEX(#REF!,A229)&lt;pers_PD_min_months,$B$134,""),""),"")</f>
        <v/>
      </c>
      <c r="L229" s="113" t="str">
        <f>IFERROR(IF(COUNTIF(INDEX(#REF!,A229),"*PostDoc*")&gt;0,IF(INDEX(#REF!,A229)*INDEX(#REF!,A229)&gt;pers_PD_max_months,$B$135,""),""),"")</f>
        <v/>
      </c>
      <c r="M229" s="113" t="str">
        <f>IFERROR(IF(COUNTIF(INDEX(#REF!,A229),"*Non-scientific*")&gt;0,IF(OR(IFERROR(MATCH("*PhD*",#REF!,0),0)&gt;0,IFERROR(MATCH("*PostDoc*",#REF!,0),0)&gt;0),"",$B$136),""),"")</f>
        <v/>
      </c>
      <c r="N229" s="113" t="str">
        <f>IFERROR(IF(COUNTIF(INDEX(#REF!,A229),"*Non-scientific*")&gt;0,IF(Total_NSP&gt;pers_max_NSP,$B$137,""),""),"")</f>
        <v/>
      </c>
      <c r="O229" s="113" t="str">
        <f>IFERROR(IF(COUNTIF(INDEX(#REF!,A229),"*Non-scientific*")&gt;0,IF(INDEX(#REF!,A229)*INDEX(#REF!,A229)&lt;pers_NSP_min_months,$B$138,""),""),"")</f>
        <v/>
      </c>
      <c r="P229" s="113" t="str">
        <f>IFERROR(IF(COUNTIF(INDEX(#REF!,A229),"*Non-scientific*")&gt;0,IF(INDEX(#REF!,A229)*INDEX(#REF!,A229)&gt;pers_NSP_max_months,$B$139,""),""),"")</f>
        <v/>
      </c>
      <c r="Q229" s="113" t="str">
        <f>IFERROR(IF(COUNTIF(INDEX(#REF!,A229),"*Other scientific*")&gt;0,IF(OR(IFERROR(MATCH("*PhD*",#REF!,0),0)&gt;0,IFERROR(MATCH("*PostDoc*",#REF!,0),0)&gt;0),"",$B$140),""),"")</f>
        <v/>
      </c>
      <c r="R229" s="113" t="str">
        <f>IFERROR(IF(COUNTIF(INDEX(#REF!,A229),"*Other scientific*")&gt;0,IF(Total_OSP&gt;pers_max_OSP,$B$141,""),""),"")</f>
        <v/>
      </c>
      <c r="S229" s="113" t="str">
        <f>IFERROR(IF(COUNTIF(INDEX(#REF!,A229),"*Other scientific*")&gt;0,IF(INDEX(#REF!,A229)*INDEX(#REF!,A229)&lt;pers_OSP_min_months,$B$142,""),""),"")</f>
        <v/>
      </c>
      <c r="T229" s="113" t="str">
        <f>IFERROR(IF(COUNTIF(INDEX(#REF!,A229),"*Other scientific*")&gt;0,IF(INDEX(#REF!,A229)*INDEX(#REF!,A229)&gt;pers_OSP_max_months,$B$143,""),""),"")</f>
        <v/>
      </c>
      <c r="U229" s="113" t="str">
        <f>IFERROR(IF(COUNTIF(INDEX(#REF!,A229),"*leave*")&gt;0,IF(Total_Research_leave&gt;pers_leave_maxperc*Total_NWO_funding,$B$144,""),""),"")</f>
        <v/>
      </c>
      <c r="V229" s="113" t="str">
        <f>IFERROR(IF(COUNTIF(INDEX(#REF!,A229),"*leave*")&gt;0,IF(Research_leave_FTE_months&gt;pers_leave_maxduration,$B$145,""),""),"")</f>
        <v/>
      </c>
      <c r="W229" s="113" t="str">
        <f>IFERROR(IF(AND(INDEX(#REF!,A229)=0,INDEX(salaries_academic[[category]:[1]],MATCH(INDEX(#REF!,A229),salaries_academic[category],0),3)=0),$B$148,""),"")</f>
        <v/>
      </c>
      <c r="X229" s="113" t="e">
        <f>IF(AND(organisation_type="yes",INDEX(#REF!,A229,1)&lt;&gt;"",ISBLANK(INDEX(#REF!,A229,1))),$B$146,"")</f>
        <v>#REF!</v>
      </c>
      <c r="Y229" s="113" t="e">
        <f>IF(AND(organisation_name="yes",INDEX(#REF!,A229,1)&lt;&gt;"",ISBLANK(INDEX(#REF!,A229,1))),$B$147,"")</f>
        <v>#REF!</v>
      </c>
      <c r="Z229" s="113" t="str">
        <f>IFERROR(IF(AND(INDEX(#REF!,A229)&gt;0,INDEX(salaries_academic[[category]:[1]],MATCH(INDEX(#REF!,A229),salaries_academic[category],0),3)&gt;0),$B$149,""),"")</f>
        <v/>
      </c>
    </row>
    <row r="230" spans="1:26" outlineLevel="1" x14ac:dyDescent="0.35">
      <c r="A230" s="113">
        <v>23</v>
      </c>
      <c r="B230" s="113" t="str">
        <f t="array" ref="B230">IFERROR(INDEX(personnel_ac_notes[[#This Row],[Exceeding nr months]:[Costs specified]],1,MATCH(TRUE,LEN(personnel_ac_notes[[#This Row],[Exceeding nr months]:[Costs specified]])&gt;0,0)),"")</f>
        <v/>
      </c>
      <c r="C230" s="113" t="str">
        <f>IFERROR(IF(INDEX(#REF!,A230)&gt;Max_project_duration,$B$128,""),"")</f>
        <v/>
      </c>
      <c r="D230" s="113" t="str">
        <f>IFERROR(IF(AND(LEN(INDEX(#REF!,A230))+LEN(INDEX(#REF!,A230))+LEN(INDEX(#REF!,A230))&gt;0,LEN(INDEX(#REF!,A230-1))+LEN(INDEX(#REF!,A230-1))+LEN(INDEX(#REF!,A230-1))=0),$B$127,""),"")</f>
        <v/>
      </c>
      <c r="E230" s="113" t="str">
        <f>IF(AND(NOT(ISBLANK(INDEX(#REF!,A230))),OR(ISBLANK(INDEX(#REF!,A230)),ISBLANK(INDEX(#REF!,A230)))),VLOOKUP(INDEX(#REF!,A230),salaries_academic[],2,FALSE),"")</f>
        <v/>
      </c>
      <c r="F230" s="113" t="str">
        <f>IFERROR(IF(COUNTIF(INDEX(#REF!,A230),"*- PhD*")&gt;0,IF(INDEX(#REF!,A230)*INDEX(#REF!,A230)&lt;pers_PhD_min_months,$B$129,""),""),"")</f>
        <v/>
      </c>
      <c r="G230" s="113" t="str">
        <f>IFERROR(IF(COUNTIF(INDEX(#REF!,$A230),"*- PhD*")&gt;0,IF(INDEX(#REF!,$A230)*INDEX(#REF!,$A230)&gt;pers_PhD_max_months,$B$130,""),""),"")</f>
        <v/>
      </c>
      <c r="H230" s="113" t="str">
        <f>IFERROR(IF(COUNTIF(INDEX(#REF!,A230),"*year*")&gt;0,IF(INDEX(#REF!,A230)*INDEX(#REF!,A230)&lt;pers_3yPhD_min_months,$B$131,""),""),"")</f>
        <v/>
      </c>
      <c r="I230" s="113" t="str">
        <f>IFERROR(IF(COUNTIF(INDEX(#REF!,A230),"*PDEng*")&gt;0,IF(OR(IFERROR(MATCH("*PhD*",#REF!,0),0)&gt;0,IFERROR(MATCH("*PostDoc*",#REF!,0),0)&gt;0),"",$B$132),""),"")</f>
        <v/>
      </c>
      <c r="J230" s="113" t="str">
        <f>IFERROR(IF(COUNTIF(INDEX(#REF!,A230),"*PDEng*")&gt;0,IF(INDEX(#REF!,A230)*INDEX(#REF!,A230)&gt;pers_PDEng_max_months,$B$133,""),""),"")</f>
        <v/>
      </c>
      <c r="K230" s="113" t="str">
        <f>IFERROR(IF(COUNTIF(INDEX(#REF!,A230),"*PostDoc*")&gt;0,IF(INDEX(#REF!,A230)*INDEX(#REF!,A230)&lt;pers_PD_min_months,$B$134,""),""),"")</f>
        <v/>
      </c>
      <c r="L230" s="113" t="str">
        <f>IFERROR(IF(COUNTIF(INDEX(#REF!,A230),"*PostDoc*")&gt;0,IF(INDEX(#REF!,A230)*INDEX(#REF!,A230)&gt;pers_PD_max_months,$B$135,""),""),"")</f>
        <v/>
      </c>
      <c r="M230" s="113" t="str">
        <f>IFERROR(IF(COUNTIF(INDEX(#REF!,A230),"*Non-scientific*")&gt;0,IF(OR(IFERROR(MATCH("*PhD*",#REF!,0),0)&gt;0,IFERROR(MATCH("*PostDoc*",#REF!,0),0)&gt;0),"",$B$136),""),"")</f>
        <v/>
      </c>
      <c r="N230" s="113" t="str">
        <f>IFERROR(IF(COUNTIF(INDEX(#REF!,A230),"*Non-scientific*")&gt;0,IF(Total_NSP&gt;pers_max_NSP,$B$137,""),""),"")</f>
        <v/>
      </c>
      <c r="O230" s="113" t="str">
        <f>IFERROR(IF(COUNTIF(INDEX(#REF!,A230),"*Non-scientific*")&gt;0,IF(INDEX(#REF!,A230)*INDEX(#REF!,A230)&lt;pers_NSP_min_months,$B$138,""),""),"")</f>
        <v/>
      </c>
      <c r="P230" s="113" t="str">
        <f>IFERROR(IF(COUNTIF(INDEX(#REF!,A230),"*Non-scientific*")&gt;0,IF(INDEX(#REF!,A230)*INDEX(#REF!,A230)&gt;pers_NSP_max_months,$B$139,""),""),"")</f>
        <v/>
      </c>
      <c r="Q230" s="113" t="str">
        <f>IFERROR(IF(COUNTIF(INDEX(#REF!,A230),"*Other scientific*")&gt;0,IF(OR(IFERROR(MATCH("*PhD*",#REF!,0),0)&gt;0,IFERROR(MATCH("*PostDoc*",#REF!,0),0)&gt;0),"",$B$140),""),"")</f>
        <v/>
      </c>
      <c r="R230" s="113" t="str">
        <f>IFERROR(IF(COUNTIF(INDEX(#REF!,A230),"*Other scientific*")&gt;0,IF(Total_OSP&gt;pers_max_OSP,$B$141,""),""),"")</f>
        <v/>
      </c>
      <c r="S230" s="113" t="str">
        <f>IFERROR(IF(COUNTIF(INDEX(#REF!,A230),"*Other scientific*")&gt;0,IF(INDEX(#REF!,A230)*INDEX(#REF!,A230)&lt;pers_OSP_min_months,$B$142,""),""),"")</f>
        <v/>
      </c>
      <c r="T230" s="113" t="str">
        <f>IFERROR(IF(COUNTIF(INDEX(#REF!,A230),"*Other scientific*")&gt;0,IF(INDEX(#REF!,A230)*INDEX(#REF!,A230)&gt;pers_OSP_max_months,$B$143,""),""),"")</f>
        <v/>
      </c>
      <c r="U230" s="113" t="str">
        <f>IFERROR(IF(COUNTIF(INDEX(#REF!,A230),"*leave*")&gt;0,IF(Total_Research_leave&gt;pers_leave_maxperc*Total_NWO_funding,$B$144,""),""),"")</f>
        <v/>
      </c>
      <c r="V230" s="113" t="str">
        <f>IFERROR(IF(COUNTIF(INDEX(#REF!,A230),"*leave*")&gt;0,IF(Research_leave_FTE_months&gt;pers_leave_maxduration,$B$145,""),""),"")</f>
        <v/>
      </c>
      <c r="W230" s="113" t="str">
        <f>IFERROR(IF(AND(INDEX(#REF!,A230)=0,INDEX(salaries_academic[[category]:[1]],MATCH(INDEX(#REF!,A230),salaries_academic[category],0),3)=0),$B$148,""),"")</f>
        <v/>
      </c>
      <c r="X230" s="113" t="e">
        <f>IF(AND(organisation_type="yes",INDEX(#REF!,A230,1)&lt;&gt;"",ISBLANK(INDEX(#REF!,A230,1))),$B$146,"")</f>
        <v>#REF!</v>
      </c>
      <c r="Y230" s="113" t="e">
        <f>IF(AND(organisation_name="yes",INDEX(#REF!,A230,1)&lt;&gt;"",ISBLANK(INDEX(#REF!,A230,1))),$B$147,"")</f>
        <v>#REF!</v>
      </c>
      <c r="Z230" s="113" t="str">
        <f>IFERROR(IF(AND(INDEX(#REF!,A230)&gt;0,INDEX(salaries_academic[[category]:[1]],MATCH(INDEX(#REF!,A230),salaries_academic[category],0),3)&gt;0),$B$149,""),"")</f>
        <v/>
      </c>
    </row>
    <row r="231" spans="1:26" outlineLevel="1" x14ac:dyDescent="0.35">
      <c r="A231" s="113">
        <v>24</v>
      </c>
      <c r="B231" s="113" t="str">
        <f t="array" ref="B231">IFERROR(INDEX(personnel_ac_notes[[#This Row],[Exceeding nr months]:[Costs specified]],1,MATCH(TRUE,LEN(personnel_ac_notes[[#This Row],[Exceeding nr months]:[Costs specified]])&gt;0,0)),"")</f>
        <v/>
      </c>
      <c r="C231" s="113" t="str">
        <f>IFERROR(IF(INDEX(#REF!,A231)&gt;Max_project_duration,$B$128,""),"")</f>
        <v/>
      </c>
      <c r="D231" s="113" t="str">
        <f>IFERROR(IF(AND(LEN(INDEX(#REF!,A231))+LEN(INDEX(#REF!,A231))+LEN(INDEX(#REF!,A231))&gt;0,LEN(INDEX(#REF!,A231-1))+LEN(INDEX(#REF!,A231-1))+LEN(INDEX(#REF!,A231-1))=0),$B$127,""),"")</f>
        <v/>
      </c>
      <c r="E231" s="113" t="str">
        <f>IF(AND(NOT(ISBLANK(INDEX(#REF!,A231))),OR(ISBLANK(INDEX(#REF!,A231)),ISBLANK(INDEX(#REF!,A231)))),VLOOKUP(INDEX(#REF!,A231),salaries_academic[],2,FALSE),"")</f>
        <v/>
      </c>
      <c r="F231" s="113" t="str">
        <f>IFERROR(IF(COUNTIF(INDEX(#REF!,A231),"*- PhD*")&gt;0,IF(INDEX(#REF!,A231)*INDEX(#REF!,A231)&lt;pers_PhD_min_months,$B$129,""),""),"")</f>
        <v/>
      </c>
      <c r="G231" s="113" t="str">
        <f>IFERROR(IF(COUNTIF(INDEX(#REF!,$A231),"*- PhD*")&gt;0,IF(INDEX(#REF!,$A231)*INDEX(#REF!,$A231)&gt;pers_PhD_max_months,$B$130,""),""),"")</f>
        <v/>
      </c>
      <c r="H231" s="113" t="str">
        <f>IFERROR(IF(COUNTIF(INDEX(#REF!,A231),"*year*")&gt;0,IF(INDEX(#REF!,A231)*INDEX(#REF!,A231)&lt;pers_3yPhD_min_months,$B$131,""),""),"")</f>
        <v/>
      </c>
      <c r="I231" s="113" t="str">
        <f>IFERROR(IF(COUNTIF(INDEX(#REF!,A231),"*PDEng*")&gt;0,IF(OR(IFERROR(MATCH("*PhD*",#REF!,0),0)&gt;0,IFERROR(MATCH("*PostDoc*",#REF!,0),0)&gt;0),"",$B$132),""),"")</f>
        <v/>
      </c>
      <c r="J231" s="113" t="str">
        <f>IFERROR(IF(COUNTIF(INDEX(#REF!,A231),"*PDEng*")&gt;0,IF(INDEX(#REF!,A231)*INDEX(#REF!,A231)&gt;pers_PDEng_max_months,$B$133,""),""),"")</f>
        <v/>
      </c>
      <c r="K231" s="113" t="str">
        <f>IFERROR(IF(COUNTIF(INDEX(#REF!,A231),"*PostDoc*")&gt;0,IF(INDEX(#REF!,A231)*INDEX(#REF!,A231)&lt;pers_PD_min_months,$B$134,""),""),"")</f>
        <v/>
      </c>
      <c r="L231" s="113" t="str">
        <f>IFERROR(IF(COUNTIF(INDEX(#REF!,A231),"*PostDoc*")&gt;0,IF(INDEX(#REF!,A231)*INDEX(#REF!,A231)&gt;pers_PD_max_months,$B$135,""),""),"")</f>
        <v/>
      </c>
      <c r="M231" s="113" t="str">
        <f>IFERROR(IF(COUNTIF(INDEX(#REF!,A231),"*Non-scientific*")&gt;0,IF(OR(IFERROR(MATCH("*PhD*",#REF!,0),0)&gt;0,IFERROR(MATCH("*PostDoc*",#REF!,0),0)&gt;0),"",$B$136),""),"")</f>
        <v/>
      </c>
      <c r="N231" s="113" t="str">
        <f>IFERROR(IF(COUNTIF(INDEX(#REF!,A231),"*Non-scientific*")&gt;0,IF(Total_NSP&gt;pers_max_NSP,$B$137,""),""),"")</f>
        <v/>
      </c>
      <c r="O231" s="113" t="str">
        <f>IFERROR(IF(COUNTIF(INDEX(#REF!,A231),"*Non-scientific*")&gt;0,IF(INDEX(#REF!,A231)*INDEX(#REF!,A231)&lt;pers_NSP_min_months,$B$138,""),""),"")</f>
        <v/>
      </c>
      <c r="P231" s="113" t="str">
        <f>IFERROR(IF(COUNTIF(INDEX(#REF!,A231),"*Non-scientific*")&gt;0,IF(INDEX(#REF!,A231)*INDEX(#REF!,A231)&gt;pers_NSP_max_months,$B$139,""),""),"")</f>
        <v/>
      </c>
      <c r="Q231" s="113" t="str">
        <f>IFERROR(IF(COUNTIF(INDEX(#REF!,A231),"*Other scientific*")&gt;0,IF(OR(IFERROR(MATCH("*PhD*",#REF!,0),0)&gt;0,IFERROR(MATCH("*PostDoc*",#REF!,0),0)&gt;0),"",$B$140),""),"")</f>
        <v/>
      </c>
      <c r="R231" s="113" t="str">
        <f>IFERROR(IF(COUNTIF(INDEX(#REF!,A231),"*Other scientific*")&gt;0,IF(Total_OSP&gt;pers_max_OSP,$B$141,""),""),"")</f>
        <v/>
      </c>
      <c r="S231" s="113" t="str">
        <f>IFERROR(IF(COUNTIF(INDEX(#REF!,A231),"*Other scientific*")&gt;0,IF(INDEX(#REF!,A231)*INDEX(#REF!,A231)&lt;pers_OSP_min_months,$B$142,""),""),"")</f>
        <v/>
      </c>
      <c r="T231" s="113" t="str">
        <f>IFERROR(IF(COUNTIF(INDEX(#REF!,A231),"*Other scientific*")&gt;0,IF(INDEX(#REF!,A231)*INDEX(#REF!,A231)&gt;pers_OSP_max_months,$B$143,""),""),"")</f>
        <v/>
      </c>
      <c r="U231" s="113" t="str">
        <f>IFERROR(IF(COUNTIF(INDEX(#REF!,A231),"*leave*")&gt;0,IF(Total_Research_leave&gt;pers_leave_maxperc*Total_NWO_funding,$B$144,""),""),"")</f>
        <v/>
      </c>
      <c r="V231" s="113" t="str">
        <f>IFERROR(IF(COUNTIF(INDEX(#REF!,A231),"*leave*")&gt;0,IF(Research_leave_FTE_months&gt;pers_leave_maxduration,$B$145,""),""),"")</f>
        <v/>
      </c>
      <c r="W231" s="113" t="str">
        <f>IFERROR(IF(AND(INDEX(#REF!,A231)=0,INDEX(salaries_academic[[category]:[1]],MATCH(INDEX(#REF!,A231),salaries_academic[category],0),3)=0),$B$148,""),"")</f>
        <v/>
      </c>
      <c r="X231" s="113" t="e">
        <f>IF(AND(organisation_type="yes",INDEX(#REF!,A231,1)&lt;&gt;"",ISBLANK(INDEX(#REF!,A231,1))),$B$146,"")</f>
        <v>#REF!</v>
      </c>
      <c r="Y231" s="113" t="e">
        <f>IF(AND(organisation_name="yes",INDEX(#REF!,A231,1)&lt;&gt;"",ISBLANK(INDEX(#REF!,A231,1))),$B$147,"")</f>
        <v>#REF!</v>
      </c>
      <c r="Z231" s="113" t="str">
        <f>IFERROR(IF(AND(INDEX(#REF!,A231)&gt;0,INDEX(salaries_academic[[category]:[1]],MATCH(INDEX(#REF!,A231),salaries_academic[category],0),3)&gt;0),$B$149,""),"")</f>
        <v/>
      </c>
    </row>
    <row r="232" spans="1:26" outlineLevel="1" x14ac:dyDescent="0.35">
      <c r="A232" s="113">
        <v>25</v>
      </c>
      <c r="B232" s="113" t="str">
        <f t="array" ref="B232">IFERROR(INDEX(personnel_ac_notes[[#This Row],[Exceeding nr months]:[Costs specified]],1,MATCH(TRUE,LEN(personnel_ac_notes[[#This Row],[Exceeding nr months]:[Costs specified]])&gt;0,0)),"")</f>
        <v/>
      </c>
      <c r="C232" s="113" t="str">
        <f>IFERROR(IF(INDEX(#REF!,A232)&gt;Max_project_duration,$B$128,""),"")</f>
        <v/>
      </c>
      <c r="D232" s="113" t="str">
        <f>IFERROR(IF(AND(LEN(INDEX(#REF!,A232))+LEN(INDEX(#REF!,A232))+LEN(INDEX(#REF!,A232))&gt;0,LEN(INDEX(#REF!,A232-1))+LEN(INDEX(#REF!,A232-1))+LEN(INDEX(#REF!,A232-1))=0),$B$127,""),"")</f>
        <v/>
      </c>
      <c r="E232" s="113" t="str">
        <f>IF(AND(NOT(ISBLANK(INDEX(#REF!,A232))),OR(ISBLANK(INDEX(#REF!,A232)),ISBLANK(INDEX(#REF!,A232)))),VLOOKUP(INDEX(#REF!,A232),salaries_academic[],2,FALSE),"")</f>
        <v/>
      </c>
      <c r="F232" s="113" t="str">
        <f>IFERROR(IF(COUNTIF(INDEX(#REF!,A232),"*- PhD*")&gt;0,IF(INDEX(#REF!,A232)*INDEX(#REF!,A232)&lt;pers_PhD_min_months,$B$129,""),""),"")</f>
        <v/>
      </c>
      <c r="G232" s="113" t="str">
        <f>IFERROR(IF(COUNTIF(INDEX(#REF!,$A232),"*- PhD*")&gt;0,IF(INDEX(#REF!,$A232)*INDEX(#REF!,$A232)&gt;pers_PhD_max_months,$B$130,""),""),"")</f>
        <v/>
      </c>
      <c r="H232" s="113" t="str">
        <f>IFERROR(IF(COUNTIF(INDEX(#REF!,A232),"*year*")&gt;0,IF(INDEX(#REF!,A232)*INDEX(#REF!,A232)&lt;pers_3yPhD_min_months,$B$131,""),""),"")</f>
        <v/>
      </c>
      <c r="I232" s="113" t="str">
        <f>IFERROR(IF(COUNTIF(INDEX(#REF!,A232),"*PDEng*")&gt;0,IF(OR(IFERROR(MATCH("*PhD*",#REF!,0),0)&gt;0,IFERROR(MATCH("*PostDoc*",#REF!,0),0)&gt;0),"",$B$132),""),"")</f>
        <v/>
      </c>
      <c r="J232" s="113" t="str">
        <f>IFERROR(IF(COUNTIF(INDEX(#REF!,A232),"*PDEng*")&gt;0,IF(INDEX(#REF!,A232)*INDEX(#REF!,A232)&gt;pers_PDEng_max_months,$B$133,""),""),"")</f>
        <v/>
      </c>
      <c r="K232" s="113" t="str">
        <f>IFERROR(IF(COUNTIF(INDEX(#REF!,A232),"*PostDoc*")&gt;0,IF(INDEX(#REF!,A232)*INDEX(#REF!,A232)&lt;pers_PD_min_months,$B$134,""),""),"")</f>
        <v/>
      </c>
      <c r="L232" s="113" t="str">
        <f>IFERROR(IF(COUNTIF(INDEX(#REF!,A232),"*PostDoc*")&gt;0,IF(INDEX(#REF!,A232)*INDEX(#REF!,A232)&gt;pers_PD_max_months,$B$135,""),""),"")</f>
        <v/>
      </c>
      <c r="M232" s="113" t="str">
        <f>IFERROR(IF(COUNTIF(INDEX(#REF!,A232),"*Non-scientific*")&gt;0,IF(OR(IFERROR(MATCH("*PhD*",#REF!,0),0)&gt;0,IFERROR(MATCH("*PostDoc*",#REF!,0),0)&gt;0),"",$B$136),""),"")</f>
        <v/>
      </c>
      <c r="N232" s="113" t="str">
        <f>IFERROR(IF(COUNTIF(INDEX(#REF!,A232),"*Non-scientific*")&gt;0,IF(Total_NSP&gt;pers_max_NSP,$B$137,""),""),"")</f>
        <v/>
      </c>
      <c r="O232" s="113" t="str">
        <f>IFERROR(IF(COUNTIF(INDEX(#REF!,A232),"*Non-scientific*")&gt;0,IF(INDEX(#REF!,A232)*INDEX(#REF!,A232)&lt;pers_NSP_min_months,$B$138,""),""),"")</f>
        <v/>
      </c>
      <c r="P232" s="113" t="str">
        <f>IFERROR(IF(COUNTIF(INDEX(#REF!,A232),"*Non-scientific*")&gt;0,IF(INDEX(#REF!,A232)*INDEX(#REF!,A232)&gt;pers_NSP_max_months,$B$139,""),""),"")</f>
        <v/>
      </c>
      <c r="Q232" s="113" t="str">
        <f>IFERROR(IF(COUNTIF(INDEX(#REF!,A232),"*Other scientific*")&gt;0,IF(OR(IFERROR(MATCH("*PhD*",#REF!,0),0)&gt;0,IFERROR(MATCH("*PostDoc*",#REF!,0),0)&gt;0),"",$B$140),""),"")</f>
        <v/>
      </c>
      <c r="R232" s="113" t="str">
        <f>IFERROR(IF(COUNTIF(INDEX(#REF!,A232),"*Other scientific*")&gt;0,IF(Total_OSP&gt;pers_max_OSP,$B$141,""),""),"")</f>
        <v/>
      </c>
      <c r="S232" s="113" t="str">
        <f>IFERROR(IF(COUNTIF(INDEX(#REF!,A232),"*Other scientific*")&gt;0,IF(INDEX(#REF!,A232)*INDEX(#REF!,A232)&lt;pers_OSP_min_months,$B$142,""),""),"")</f>
        <v/>
      </c>
      <c r="T232" s="113" t="str">
        <f>IFERROR(IF(COUNTIF(INDEX(#REF!,A232),"*Other scientific*")&gt;0,IF(INDEX(#REF!,A232)*INDEX(#REF!,A232)&gt;pers_OSP_max_months,$B$143,""),""),"")</f>
        <v/>
      </c>
      <c r="U232" s="113" t="str">
        <f>IFERROR(IF(COUNTIF(INDEX(#REF!,A232),"*leave*")&gt;0,IF(Total_Research_leave&gt;pers_leave_maxperc*Total_NWO_funding,$B$144,""),""),"")</f>
        <v/>
      </c>
      <c r="V232" s="113" t="str">
        <f>IFERROR(IF(COUNTIF(INDEX(#REF!,A232),"*leave*")&gt;0,IF(Research_leave_FTE_months&gt;pers_leave_maxduration,$B$145,""),""),"")</f>
        <v/>
      </c>
      <c r="W232" s="113" t="str">
        <f>IFERROR(IF(AND(INDEX(#REF!,A232)=0,INDEX(salaries_academic[[category]:[1]],MATCH(INDEX(#REF!,A232),salaries_academic[category],0),3)=0),$B$148,""),"")</f>
        <v/>
      </c>
      <c r="X232" s="113" t="e">
        <f>IF(AND(organisation_type="yes",INDEX(#REF!,A232,1)&lt;&gt;"",ISBLANK(INDEX(#REF!,A232,1))),$B$146,"")</f>
        <v>#REF!</v>
      </c>
      <c r="Y232" s="113" t="e">
        <f>IF(AND(organisation_name="yes",INDEX(#REF!,A232,1)&lt;&gt;"",ISBLANK(INDEX(#REF!,A232,1))),$B$147,"")</f>
        <v>#REF!</v>
      </c>
      <c r="Z232" s="113" t="str">
        <f>IFERROR(IF(AND(INDEX(#REF!,A232)&gt;0,INDEX(salaries_academic[[category]:[1]],MATCH(INDEX(#REF!,A232),salaries_academic[category],0),3)&gt;0),$B$149,""),"")</f>
        <v/>
      </c>
    </row>
    <row r="233" spans="1:26" outlineLevel="1" x14ac:dyDescent="0.35">
      <c r="A233" s="113">
        <v>26</v>
      </c>
      <c r="B233" s="113" t="str">
        <f t="array" ref="B233">IFERROR(INDEX(personnel_ac_notes[[#This Row],[Exceeding nr months]:[Costs specified]],1,MATCH(TRUE,LEN(personnel_ac_notes[[#This Row],[Exceeding nr months]:[Costs specified]])&gt;0,0)),"")</f>
        <v/>
      </c>
      <c r="C233" s="113" t="str">
        <f>IFERROR(IF(INDEX(#REF!,A233)&gt;Max_project_duration,$B$128,""),"")</f>
        <v/>
      </c>
      <c r="D233" s="113" t="str">
        <f>IFERROR(IF(AND(LEN(INDEX(#REF!,A233))+LEN(INDEX(#REF!,A233))+LEN(INDEX(#REF!,A233))&gt;0,LEN(INDEX(#REF!,A233-1))+LEN(INDEX(#REF!,A233-1))+LEN(INDEX(#REF!,A233-1))=0),$B$127,""),"")</f>
        <v/>
      </c>
      <c r="E233" s="113" t="str">
        <f>IF(AND(NOT(ISBLANK(INDEX(#REF!,A233))),OR(ISBLANK(INDEX(#REF!,A233)),ISBLANK(INDEX(#REF!,A233)))),VLOOKUP(INDEX(#REF!,A233),salaries_academic[],2,FALSE),"")</f>
        <v/>
      </c>
      <c r="F233" s="113" t="str">
        <f>IFERROR(IF(COUNTIF(INDEX(#REF!,A233),"*- PhD*")&gt;0,IF(INDEX(#REF!,A233)*INDEX(#REF!,A233)&lt;pers_PhD_min_months,$B$129,""),""),"")</f>
        <v/>
      </c>
      <c r="G233" s="113" t="str">
        <f>IFERROR(IF(COUNTIF(INDEX(#REF!,$A233),"*- PhD*")&gt;0,IF(INDEX(#REF!,$A233)*INDEX(#REF!,$A233)&gt;pers_PhD_max_months,$B$130,""),""),"")</f>
        <v/>
      </c>
      <c r="H233" s="113" t="str">
        <f>IFERROR(IF(COUNTIF(INDEX(#REF!,A233),"*year*")&gt;0,IF(INDEX(#REF!,A233)*INDEX(#REF!,A233)&lt;pers_3yPhD_min_months,$B$131,""),""),"")</f>
        <v/>
      </c>
      <c r="I233" s="113" t="str">
        <f>IFERROR(IF(COUNTIF(INDEX(#REF!,A233),"*PDEng*")&gt;0,IF(OR(IFERROR(MATCH("*PhD*",#REF!,0),0)&gt;0,IFERROR(MATCH("*PostDoc*",#REF!,0),0)&gt;0),"",$B$132),""),"")</f>
        <v/>
      </c>
      <c r="J233" s="113" t="str">
        <f>IFERROR(IF(COUNTIF(INDEX(#REF!,A233),"*PDEng*")&gt;0,IF(INDEX(#REF!,A233)*INDEX(#REF!,A233)&gt;pers_PDEng_max_months,$B$133,""),""),"")</f>
        <v/>
      </c>
      <c r="K233" s="113" t="str">
        <f>IFERROR(IF(COUNTIF(INDEX(#REF!,A233),"*PostDoc*")&gt;0,IF(INDEX(#REF!,A233)*INDEX(#REF!,A233)&lt;pers_PD_min_months,$B$134,""),""),"")</f>
        <v/>
      </c>
      <c r="L233" s="113" t="str">
        <f>IFERROR(IF(COUNTIF(INDEX(#REF!,A233),"*PostDoc*")&gt;0,IF(INDEX(#REF!,A233)*INDEX(#REF!,A233)&gt;pers_PD_max_months,$B$135,""),""),"")</f>
        <v/>
      </c>
      <c r="M233" s="113" t="str">
        <f>IFERROR(IF(COUNTIF(INDEX(#REF!,A233),"*Non-scientific*")&gt;0,IF(OR(IFERROR(MATCH("*PhD*",#REF!,0),0)&gt;0,IFERROR(MATCH("*PostDoc*",#REF!,0),0)&gt;0),"",$B$136),""),"")</f>
        <v/>
      </c>
      <c r="N233" s="113" t="str">
        <f>IFERROR(IF(COUNTIF(INDEX(#REF!,A233),"*Non-scientific*")&gt;0,IF(Total_NSP&gt;pers_max_NSP,$B$137,""),""),"")</f>
        <v/>
      </c>
      <c r="O233" s="113" t="str">
        <f>IFERROR(IF(COUNTIF(INDEX(#REF!,A233),"*Non-scientific*")&gt;0,IF(INDEX(#REF!,A233)*INDEX(#REF!,A233)&lt;pers_NSP_min_months,$B$138,""),""),"")</f>
        <v/>
      </c>
      <c r="P233" s="113" t="str">
        <f>IFERROR(IF(COUNTIF(INDEX(#REF!,A233),"*Non-scientific*")&gt;0,IF(INDEX(#REF!,A233)*INDEX(#REF!,A233)&gt;pers_NSP_max_months,$B$139,""),""),"")</f>
        <v/>
      </c>
      <c r="Q233" s="113" t="str">
        <f>IFERROR(IF(COUNTIF(INDEX(#REF!,A233),"*Other scientific*")&gt;0,IF(OR(IFERROR(MATCH("*PhD*",#REF!,0),0)&gt;0,IFERROR(MATCH("*PostDoc*",#REF!,0),0)&gt;0),"",$B$140),""),"")</f>
        <v/>
      </c>
      <c r="R233" s="113" t="str">
        <f>IFERROR(IF(COUNTIF(INDEX(#REF!,A233),"*Other scientific*")&gt;0,IF(Total_OSP&gt;pers_max_OSP,$B$141,""),""),"")</f>
        <v/>
      </c>
      <c r="S233" s="113" t="str">
        <f>IFERROR(IF(COUNTIF(INDEX(#REF!,A233),"*Other scientific*")&gt;0,IF(INDEX(#REF!,A233)*INDEX(#REF!,A233)&lt;pers_OSP_min_months,$B$142,""),""),"")</f>
        <v/>
      </c>
      <c r="T233" s="113" t="str">
        <f>IFERROR(IF(COUNTIF(INDEX(#REF!,A233),"*Other scientific*")&gt;0,IF(INDEX(#REF!,A233)*INDEX(#REF!,A233)&gt;pers_OSP_max_months,$B$143,""),""),"")</f>
        <v/>
      </c>
      <c r="U233" s="113" t="str">
        <f>IFERROR(IF(COUNTIF(INDEX(#REF!,A233),"*leave*")&gt;0,IF(Total_Research_leave&gt;pers_leave_maxperc*Total_NWO_funding,$B$144,""),""),"")</f>
        <v/>
      </c>
      <c r="V233" s="113" t="str">
        <f>IFERROR(IF(COUNTIF(INDEX(#REF!,A233),"*leave*")&gt;0,IF(Research_leave_FTE_months&gt;pers_leave_maxduration,$B$145,""),""),"")</f>
        <v/>
      </c>
      <c r="W233" s="113" t="str">
        <f>IFERROR(IF(AND(INDEX(#REF!,A233)=0,INDEX(salaries_academic[[category]:[1]],MATCH(INDEX(#REF!,A233),salaries_academic[category],0),3)=0),$B$148,""),"")</f>
        <v/>
      </c>
      <c r="X233" s="113" t="e">
        <f>IF(AND(organisation_type="yes",INDEX(#REF!,A233,1)&lt;&gt;"",ISBLANK(INDEX(#REF!,A233,1))),$B$146,"")</f>
        <v>#REF!</v>
      </c>
      <c r="Y233" s="113" t="e">
        <f>IF(AND(organisation_name="yes",INDEX(#REF!,A233,1)&lt;&gt;"",ISBLANK(INDEX(#REF!,A233,1))),$B$147,"")</f>
        <v>#REF!</v>
      </c>
      <c r="Z233" s="113" t="str">
        <f>IFERROR(IF(AND(INDEX(#REF!,A233)&gt;0,INDEX(salaries_academic[[category]:[1]],MATCH(INDEX(#REF!,A233),salaries_academic[category],0),3)&gt;0),$B$149,""),"")</f>
        <v/>
      </c>
    </row>
    <row r="234" spans="1:26" outlineLevel="1" x14ac:dyDescent="0.35">
      <c r="A234" s="113">
        <v>27</v>
      </c>
      <c r="B234" s="113" t="str">
        <f t="array" ref="B234">IFERROR(INDEX(personnel_ac_notes[[#This Row],[Exceeding nr months]:[Costs specified]],1,MATCH(TRUE,LEN(personnel_ac_notes[[#This Row],[Exceeding nr months]:[Costs specified]])&gt;0,0)),"")</f>
        <v/>
      </c>
      <c r="C234" s="113" t="str">
        <f>IFERROR(IF(INDEX(#REF!,A234)&gt;Max_project_duration,$B$128,""),"")</f>
        <v/>
      </c>
      <c r="D234" s="113" t="str">
        <f>IFERROR(IF(AND(LEN(INDEX(#REF!,A234))+LEN(INDEX(#REF!,A234))+LEN(INDEX(#REF!,A234))&gt;0,LEN(INDEX(#REF!,A234-1))+LEN(INDEX(#REF!,A234-1))+LEN(INDEX(#REF!,A234-1))=0),$B$127,""),"")</f>
        <v/>
      </c>
      <c r="E234" s="113" t="str">
        <f>IF(AND(NOT(ISBLANK(INDEX(#REF!,A234))),OR(ISBLANK(INDEX(#REF!,A234)),ISBLANK(INDEX(#REF!,A234)))),VLOOKUP(INDEX(#REF!,A234),salaries_academic[],2,FALSE),"")</f>
        <v/>
      </c>
      <c r="F234" s="113" t="str">
        <f>IFERROR(IF(COUNTIF(INDEX(#REF!,A234),"*- PhD*")&gt;0,IF(INDEX(#REF!,A234)*INDEX(#REF!,A234)&lt;pers_PhD_min_months,$B$129,""),""),"")</f>
        <v/>
      </c>
      <c r="G234" s="113" t="str">
        <f>IFERROR(IF(COUNTIF(INDEX(#REF!,$A234),"*- PhD*")&gt;0,IF(INDEX(#REF!,$A234)*INDEX(#REF!,$A234)&gt;pers_PhD_max_months,$B$130,""),""),"")</f>
        <v/>
      </c>
      <c r="H234" s="113" t="str">
        <f>IFERROR(IF(COUNTIF(INDEX(#REF!,A234),"*year*")&gt;0,IF(INDEX(#REF!,A234)*INDEX(#REF!,A234)&lt;pers_3yPhD_min_months,$B$131,""),""),"")</f>
        <v/>
      </c>
      <c r="I234" s="113" t="str">
        <f>IFERROR(IF(COUNTIF(INDEX(#REF!,A234),"*PDEng*")&gt;0,IF(OR(IFERROR(MATCH("*PhD*",#REF!,0),0)&gt;0,IFERROR(MATCH("*PostDoc*",#REF!,0),0)&gt;0),"",$B$132),""),"")</f>
        <v/>
      </c>
      <c r="J234" s="113" t="str">
        <f>IFERROR(IF(COUNTIF(INDEX(#REF!,A234),"*PDEng*")&gt;0,IF(INDEX(#REF!,A234)*INDEX(#REF!,A234)&gt;pers_PDEng_max_months,$B$133,""),""),"")</f>
        <v/>
      </c>
      <c r="K234" s="113" t="str">
        <f>IFERROR(IF(COUNTIF(INDEX(#REF!,A234),"*PostDoc*")&gt;0,IF(INDEX(#REF!,A234)*INDEX(#REF!,A234)&lt;pers_PD_min_months,$B$134,""),""),"")</f>
        <v/>
      </c>
      <c r="L234" s="113" t="str">
        <f>IFERROR(IF(COUNTIF(INDEX(#REF!,A234),"*PostDoc*")&gt;0,IF(INDEX(#REF!,A234)*INDEX(#REF!,A234)&gt;pers_PD_max_months,$B$135,""),""),"")</f>
        <v/>
      </c>
      <c r="M234" s="113" t="str">
        <f>IFERROR(IF(COUNTIF(INDEX(#REF!,A234),"*Non-scientific*")&gt;0,IF(OR(IFERROR(MATCH("*PhD*",#REF!,0),0)&gt;0,IFERROR(MATCH("*PostDoc*",#REF!,0),0)&gt;0),"",$B$136),""),"")</f>
        <v/>
      </c>
      <c r="N234" s="113" t="str">
        <f>IFERROR(IF(COUNTIF(INDEX(#REF!,A234),"*Non-scientific*")&gt;0,IF(Total_NSP&gt;pers_max_NSP,$B$137,""),""),"")</f>
        <v/>
      </c>
      <c r="O234" s="113" t="str">
        <f>IFERROR(IF(COUNTIF(INDEX(#REF!,A234),"*Non-scientific*")&gt;0,IF(INDEX(#REF!,A234)*INDEX(#REF!,A234)&lt;pers_NSP_min_months,$B$138,""),""),"")</f>
        <v/>
      </c>
      <c r="P234" s="113" t="str">
        <f>IFERROR(IF(COUNTIF(INDEX(#REF!,A234),"*Non-scientific*")&gt;0,IF(INDEX(#REF!,A234)*INDEX(#REF!,A234)&gt;pers_NSP_max_months,$B$139,""),""),"")</f>
        <v/>
      </c>
      <c r="Q234" s="113" t="str">
        <f>IFERROR(IF(COUNTIF(INDEX(#REF!,A234),"*Other scientific*")&gt;0,IF(OR(IFERROR(MATCH("*PhD*",#REF!,0),0)&gt;0,IFERROR(MATCH("*PostDoc*",#REF!,0),0)&gt;0),"",$B$140),""),"")</f>
        <v/>
      </c>
      <c r="R234" s="113" t="str">
        <f>IFERROR(IF(COUNTIF(INDEX(#REF!,A234),"*Other scientific*")&gt;0,IF(Total_OSP&gt;pers_max_OSP,$B$141,""),""),"")</f>
        <v/>
      </c>
      <c r="S234" s="113" t="str">
        <f>IFERROR(IF(COUNTIF(INDEX(#REF!,A234),"*Other scientific*")&gt;0,IF(INDEX(#REF!,A234)*INDEX(#REF!,A234)&lt;pers_OSP_min_months,$B$142,""),""),"")</f>
        <v/>
      </c>
      <c r="T234" s="113" t="str">
        <f>IFERROR(IF(COUNTIF(INDEX(#REF!,A234),"*Other scientific*")&gt;0,IF(INDEX(#REF!,A234)*INDEX(#REF!,A234)&gt;pers_OSP_max_months,$B$143,""),""),"")</f>
        <v/>
      </c>
      <c r="U234" s="113" t="str">
        <f>IFERROR(IF(COUNTIF(INDEX(#REF!,A234),"*leave*")&gt;0,IF(Total_Research_leave&gt;pers_leave_maxperc*Total_NWO_funding,$B$144,""),""),"")</f>
        <v/>
      </c>
      <c r="V234" s="113" t="str">
        <f>IFERROR(IF(COUNTIF(INDEX(#REF!,A234),"*leave*")&gt;0,IF(Research_leave_FTE_months&gt;pers_leave_maxduration,$B$145,""),""),"")</f>
        <v/>
      </c>
      <c r="W234" s="113" t="str">
        <f>IFERROR(IF(AND(INDEX(#REF!,A234)=0,INDEX(salaries_academic[[category]:[1]],MATCH(INDEX(#REF!,A234),salaries_academic[category],0),3)=0),$B$148,""),"")</f>
        <v/>
      </c>
      <c r="X234" s="113" t="e">
        <f>IF(AND(organisation_type="yes",INDEX(#REF!,A234,1)&lt;&gt;"",ISBLANK(INDEX(#REF!,A234,1))),$B$146,"")</f>
        <v>#REF!</v>
      </c>
      <c r="Y234" s="113" t="e">
        <f>IF(AND(organisation_name="yes",INDEX(#REF!,A234,1)&lt;&gt;"",ISBLANK(INDEX(#REF!,A234,1))),$B$147,"")</f>
        <v>#REF!</v>
      </c>
      <c r="Z234" s="113" t="str">
        <f>IFERROR(IF(AND(INDEX(#REF!,A234)&gt;0,INDEX(salaries_academic[[category]:[1]],MATCH(INDEX(#REF!,A234),salaries_academic[category],0),3)&gt;0),$B$149,""),"")</f>
        <v/>
      </c>
    </row>
    <row r="235" spans="1:26" outlineLevel="1" x14ac:dyDescent="0.35">
      <c r="A235" s="113">
        <v>28</v>
      </c>
      <c r="B235" s="113" t="str">
        <f t="array" ref="B235">IFERROR(INDEX(personnel_ac_notes[[#This Row],[Exceeding nr months]:[Costs specified]],1,MATCH(TRUE,LEN(personnel_ac_notes[[#This Row],[Exceeding nr months]:[Costs specified]])&gt;0,0)),"")</f>
        <v/>
      </c>
      <c r="C235" s="113" t="str">
        <f>IFERROR(IF(INDEX(#REF!,A235)&gt;Max_project_duration,$B$128,""),"")</f>
        <v/>
      </c>
      <c r="D235" s="113" t="str">
        <f>IFERROR(IF(AND(LEN(INDEX(#REF!,A235))+LEN(INDEX(#REF!,A235))+LEN(INDEX(#REF!,A235))&gt;0,LEN(INDEX(#REF!,A235-1))+LEN(INDEX(#REF!,A235-1))+LEN(INDEX(#REF!,A235-1))=0),$B$127,""),"")</f>
        <v/>
      </c>
      <c r="E235" s="113" t="str">
        <f>IF(AND(NOT(ISBLANK(INDEX(#REF!,A235))),OR(ISBLANK(INDEX(#REF!,A235)),ISBLANK(INDEX(#REF!,A235)))),VLOOKUP(INDEX(#REF!,A235),salaries_academic[],2,FALSE),"")</f>
        <v/>
      </c>
      <c r="F235" s="113" t="str">
        <f>IFERROR(IF(COUNTIF(INDEX(#REF!,A235),"*- PhD*")&gt;0,IF(INDEX(#REF!,A235)*INDEX(#REF!,A235)&lt;pers_PhD_min_months,$B$129,""),""),"")</f>
        <v/>
      </c>
      <c r="G235" s="113" t="str">
        <f>IFERROR(IF(COUNTIF(INDEX(#REF!,$A235),"*- PhD*")&gt;0,IF(INDEX(#REF!,$A235)*INDEX(#REF!,$A235)&gt;pers_PhD_max_months,$B$130,""),""),"")</f>
        <v/>
      </c>
      <c r="H235" s="113" t="str">
        <f>IFERROR(IF(COUNTIF(INDEX(#REF!,A235),"*year*")&gt;0,IF(INDEX(#REF!,A235)*INDEX(#REF!,A235)&lt;pers_3yPhD_min_months,$B$131,""),""),"")</f>
        <v/>
      </c>
      <c r="I235" s="113" t="str">
        <f>IFERROR(IF(COUNTIF(INDEX(#REF!,A235),"*PDEng*")&gt;0,IF(OR(IFERROR(MATCH("*PhD*",#REF!,0),0)&gt;0,IFERROR(MATCH("*PostDoc*",#REF!,0),0)&gt;0),"",$B$132),""),"")</f>
        <v/>
      </c>
      <c r="J235" s="113" t="str">
        <f>IFERROR(IF(COUNTIF(INDEX(#REF!,A235),"*PDEng*")&gt;0,IF(INDEX(#REF!,A235)*INDEX(#REF!,A235)&gt;pers_PDEng_max_months,$B$133,""),""),"")</f>
        <v/>
      </c>
      <c r="K235" s="113" t="str">
        <f>IFERROR(IF(COUNTIF(INDEX(#REF!,A235),"*PostDoc*")&gt;0,IF(INDEX(#REF!,A235)*INDEX(#REF!,A235)&lt;pers_PD_min_months,$B$134,""),""),"")</f>
        <v/>
      </c>
      <c r="L235" s="113" t="str">
        <f>IFERROR(IF(COUNTIF(INDEX(#REF!,A235),"*PostDoc*")&gt;0,IF(INDEX(#REF!,A235)*INDEX(#REF!,A235)&gt;pers_PD_max_months,$B$135,""),""),"")</f>
        <v/>
      </c>
      <c r="M235" s="113" t="str">
        <f>IFERROR(IF(COUNTIF(INDEX(#REF!,A235),"*Non-scientific*")&gt;0,IF(OR(IFERROR(MATCH("*PhD*",#REF!,0),0)&gt;0,IFERROR(MATCH("*PostDoc*",#REF!,0),0)&gt;0),"",$B$136),""),"")</f>
        <v/>
      </c>
      <c r="N235" s="113" t="str">
        <f>IFERROR(IF(COUNTIF(INDEX(#REF!,A235),"*Non-scientific*")&gt;0,IF(Total_NSP&gt;pers_max_NSP,$B$137,""),""),"")</f>
        <v/>
      </c>
      <c r="O235" s="113" t="str">
        <f>IFERROR(IF(COUNTIF(INDEX(#REF!,A235),"*Non-scientific*")&gt;0,IF(INDEX(#REF!,A235)*INDEX(#REF!,A235)&lt;pers_NSP_min_months,$B$138,""),""),"")</f>
        <v/>
      </c>
      <c r="P235" s="113" t="str">
        <f>IFERROR(IF(COUNTIF(INDEX(#REF!,A235),"*Non-scientific*")&gt;0,IF(INDEX(#REF!,A235)*INDEX(#REF!,A235)&gt;pers_NSP_max_months,$B$139,""),""),"")</f>
        <v/>
      </c>
      <c r="Q235" s="113" t="str">
        <f>IFERROR(IF(COUNTIF(INDEX(#REF!,A235),"*Other scientific*")&gt;0,IF(OR(IFERROR(MATCH("*PhD*",#REF!,0),0)&gt;0,IFERROR(MATCH("*PostDoc*",#REF!,0),0)&gt;0),"",$B$140),""),"")</f>
        <v/>
      </c>
      <c r="R235" s="113" t="str">
        <f>IFERROR(IF(COUNTIF(INDEX(#REF!,A235),"*Other scientific*")&gt;0,IF(Total_OSP&gt;pers_max_OSP,$B$141,""),""),"")</f>
        <v/>
      </c>
      <c r="S235" s="113" t="str">
        <f>IFERROR(IF(COUNTIF(INDEX(#REF!,A235),"*Other scientific*")&gt;0,IF(INDEX(#REF!,A235)*INDEX(#REF!,A235)&lt;pers_OSP_min_months,$B$142,""),""),"")</f>
        <v/>
      </c>
      <c r="T235" s="113" t="str">
        <f>IFERROR(IF(COUNTIF(INDEX(#REF!,A235),"*Other scientific*")&gt;0,IF(INDEX(#REF!,A235)*INDEX(#REF!,A235)&gt;pers_OSP_max_months,$B$143,""),""),"")</f>
        <v/>
      </c>
      <c r="U235" s="113" t="str">
        <f>IFERROR(IF(COUNTIF(INDEX(#REF!,A235),"*leave*")&gt;0,IF(Total_Research_leave&gt;pers_leave_maxperc*Total_NWO_funding,$B$144,""),""),"")</f>
        <v/>
      </c>
      <c r="V235" s="113" t="str">
        <f>IFERROR(IF(COUNTIF(INDEX(#REF!,A235),"*leave*")&gt;0,IF(Research_leave_FTE_months&gt;pers_leave_maxduration,$B$145,""),""),"")</f>
        <v/>
      </c>
      <c r="W235" s="113" t="str">
        <f>IFERROR(IF(AND(INDEX(#REF!,A235)=0,INDEX(salaries_academic[[category]:[1]],MATCH(INDEX(#REF!,A235),salaries_academic[category],0),3)=0),$B$148,""),"")</f>
        <v/>
      </c>
      <c r="X235" s="113" t="e">
        <f>IF(AND(organisation_type="yes",INDEX(#REF!,A235,1)&lt;&gt;"",ISBLANK(INDEX(#REF!,A235,1))),$B$146,"")</f>
        <v>#REF!</v>
      </c>
      <c r="Y235" s="113" t="e">
        <f>IF(AND(organisation_name="yes",INDEX(#REF!,A235,1)&lt;&gt;"",ISBLANK(INDEX(#REF!,A235,1))),$B$147,"")</f>
        <v>#REF!</v>
      </c>
      <c r="Z235" s="113" t="str">
        <f>IFERROR(IF(AND(INDEX(#REF!,A235)&gt;0,INDEX(salaries_academic[[category]:[1]],MATCH(INDEX(#REF!,A235),salaries_academic[category],0),3)&gt;0),$B$149,""),"")</f>
        <v/>
      </c>
    </row>
    <row r="236" spans="1:26" outlineLevel="1" x14ac:dyDescent="0.35">
      <c r="A236" s="113">
        <v>29</v>
      </c>
      <c r="B236" s="113" t="str">
        <f t="array" ref="B236">IFERROR(INDEX(personnel_ac_notes[[#This Row],[Exceeding nr months]:[Costs specified]],1,MATCH(TRUE,LEN(personnel_ac_notes[[#This Row],[Exceeding nr months]:[Costs specified]])&gt;0,0)),"")</f>
        <v/>
      </c>
      <c r="C236" s="113" t="str">
        <f>IFERROR(IF(INDEX(#REF!,A236)&gt;Max_project_duration,$B$128,""),"")</f>
        <v/>
      </c>
      <c r="D236" s="113" t="str">
        <f>IFERROR(IF(AND(LEN(INDEX(#REF!,A236))+LEN(INDEX(#REF!,A236))+LEN(INDEX(#REF!,A236))&gt;0,LEN(INDEX(#REF!,A236-1))+LEN(INDEX(#REF!,A236-1))+LEN(INDEX(#REF!,A236-1))=0),$B$127,""),"")</f>
        <v/>
      </c>
      <c r="E236" s="113" t="str">
        <f>IF(AND(NOT(ISBLANK(INDEX(#REF!,A236))),OR(ISBLANK(INDEX(#REF!,A236)),ISBLANK(INDEX(#REF!,A236)))),VLOOKUP(INDEX(#REF!,A236),salaries_academic[],2,FALSE),"")</f>
        <v/>
      </c>
      <c r="F236" s="113" t="str">
        <f>IFERROR(IF(COUNTIF(INDEX(#REF!,A236),"*- PhD*")&gt;0,IF(INDEX(#REF!,A236)*INDEX(#REF!,A236)&lt;pers_PhD_min_months,$B$129,""),""),"")</f>
        <v/>
      </c>
      <c r="G236" s="113" t="str">
        <f>IFERROR(IF(COUNTIF(INDEX(#REF!,$A236),"*- PhD*")&gt;0,IF(INDEX(#REF!,$A236)*INDEX(#REF!,$A236)&gt;pers_PhD_max_months,$B$130,""),""),"")</f>
        <v/>
      </c>
      <c r="H236" s="113" t="str">
        <f>IFERROR(IF(COUNTIF(INDEX(#REF!,A236),"*year*")&gt;0,IF(INDEX(#REF!,A236)*INDEX(#REF!,A236)&lt;pers_3yPhD_min_months,$B$131,""),""),"")</f>
        <v/>
      </c>
      <c r="I236" s="113" t="str">
        <f>IFERROR(IF(COUNTIF(INDEX(#REF!,A236),"*PDEng*")&gt;0,IF(OR(IFERROR(MATCH("*PhD*",#REF!,0),0)&gt;0,IFERROR(MATCH("*PostDoc*",#REF!,0),0)&gt;0),"",$B$132),""),"")</f>
        <v/>
      </c>
      <c r="J236" s="113" t="str">
        <f>IFERROR(IF(COUNTIF(INDEX(#REF!,A236),"*PDEng*")&gt;0,IF(INDEX(#REF!,A236)*INDEX(#REF!,A236)&gt;pers_PDEng_max_months,$B$133,""),""),"")</f>
        <v/>
      </c>
      <c r="K236" s="113" t="str">
        <f>IFERROR(IF(COUNTIF(INDEX(#REF!,A236),"*PostDoc*")&gt;0,IF(INDEX(#REF!,A236)*INDEX(#REF!,A236)&lt;pers_PD_min_months,$B$134,""),""),"")</f>
        <v/>
      </c>
      <c r="L236" s="113" t="str">
        <f>IFERROR(IF(COUNTIF(INDEX(#REF!,A236),"*PostDoc*")&gt;0,IF(INDEX(#REF!,A236)*INDEX(#REF!,A236)&gt;pers_PD_max_months,$B$135,""),""),"")</f>
        <v/>
      </c>
      <c r="M236" s="113" t="str">
        <f>IFERROR(IF(COUNTIF(INDEX(#REF!,A236),"*Non-scientific*")&gt;0,IF(OR(IFERROR(MATCH("*PhD*",#REF!,0),0)&gt;0,IFERROR(MATCH("*PostDoc*",#REF!,0),0)&gt;0),"",$B$136),""),"")</f>
        <v/>
      </c>
      <c r="N236" s="113" t="str">
        <f>IFERROR(IF(COUNTIF(INDEX(#REF!,A236),"*Non-scientific*")&gt;0,IF(Total_NSP&gt;pers_max_NSP,$B$137,""),""),"")</f>
        <v/>
      </c>
      <c r="O236" s="113" t="str">
        <f>IFERROR(IF(COUNTIF(INDEX(#REF!,A236),"*Non-scientific*")&gt;0,IF(INDEX(#REF!,A236)*INDEX(#REF!,A236)&lt;pers_NSP_min_months,$B$138,""),""),"")</f>
        <v/>
      </c>
      <c r="P236" s="113" t="str">
        <f>IFERROR(IF(COUNTIF(INDEX(#REF!,A236),"*Non-scientific*")&gt;0,IF(INDEX(#REF!,A236)*INDEX(#REF!,A236)&gt;pers_NSP_max_months,$B$139,""),""),"")</f>
        <v/>
      </c>
      <c r="Q236" s="113" t="str">
        <f>IFERROR(IF(COUNTIF(INDEX(#REF!,A236),"*Other scientific*")&gt;0,IF(OR(IFERROR(MATCH("*PhD*",#REF!,0),0)&gt;0,IFERROR(MATCH("*PostDoc*",#REF!,0),0)&gt;0),"",$B$140),""),"")</f>
        <v/>
      </c>
      <c r="R236" s="113" t="str">
        <f>IFERROR(IF(COUNTIF(INDEX(#REF!,A236),"*Other scientific*")&gt;0,IF(Total_OSP&gt;pers_max_OSP,$B$141,""),""),"")</f>
        <v/>
      </c>
      <c r="S236" s="113" t="str">
        <f>IFERROR(IF(COUNTIF(INDEX(#REF!,A236),"*Other scientific*")&gt;0,IF(INDEX(#REF!,A236)*INDEX(#REF!,A236)&lt;pers_OSP_min_months,$B$142,""),""),"")</f>
        <v/>
      </c>
      <c r="T236" s="113" t="str">
        <f>IFERROR(IF(COUNTIF(INDEX(#REF!,A236),"*Other scientific*")&gt;0,IF(INDEX(#REF!,A236)*INDEX(#REF!,A236)&gt;pers_OSP_max_months,$B$143,""),""),"")</f>
        <v/>
      </c>
      <c r="U236" s="113" t="str">
        <f>IFERROR(IF(COUNTIF(INDEX(#REF!,A236),"*leave*")&gt;0,IF(Total_Research_leave&gt;pers_leave_maxperc*Total_NWO_funding,$B$144,""),""),"")</f>
        <v/>
      </c>
      <c r="V236" s="113" t="str">
        <f>IFERROR(IF(COUNTIF(INDEX(#REF!,A236),"*leave*")&gt;0,IF(Research_leave_FTE_months&gt;pers_leave_maxduration,$B$145,""),""),"")</f>
        <v/>
      </c>
      <c r="W236" s="113" t="str">
        <f>IFERROR(IF(AND(INDEX(#REF!,A236)=0,INDEX(salaries_academic[[category]:[1]],MATCH(INDEX(#REF!,A236),salaries_academic[category],0),3)=0),$B$148,""),"")</f>
        <v/>
      </c>
      <c r="X236" s="113" t="e">
        <f>IF(AND(organisation_type="yes",INDEX(#REF!,A236,1)&lt;&gt;"",ISBLANK(INDEX(#REF!,A236,1))),$B$146,"")</f>
        <v>#REF!</v>
      </c>
      <c r="Y236" s="113" t="e">
        <f>IF(AND(organisation_name="yes",INDEX(#REF!,A236,1)&lt;&gt;"",ISBLANK(INDEX(#REF!,A236,1))),$B$147,"")</f>
        <v>#REF!</v>
      </c>
      <c r="Z236" s="113" t="str">
        <f>IFERROR(IF(AND(INDEX(#REF!,A236)&gt;0,INDEX(salaries_academic[[category]:[1]],MATCH(INDEX(#REF!,A236),salaries_academic[category],0),3)&gt;0),$B$149,""),"")</f>
        <v/>
      </c>
    </row>
    <row r="237" spans="1:26" outlineLevel="1" x14ac:dyDescent="0.35">
      <c r="A237" s="113">
        <v>30</v>
      </c>
      <c r="B237" s="113" t="str">
        <f t="array" ref="B237">IFERROR(INDEX(personnel_ac_notes[[#This Row],[Exceeding nr months]:[Costs specified]],1,MATCH(TRUE,LEN(personnel_ac_notes[[#This Row],[Exceeding nr months]:[Costs specified]])&gt;0,0)),"")</f>
        <v/>
      </c>
      <c r="C237" s="113" t="str">
        <f>IFERROR(IF(INDEX(#REF!,A237)&gt;Max_project_duration,$B$128,""),"")</f>
        <v/>
      </c>
      <c r="D237" s="113" t="str">
        <f>IFERROR(IF(AND(LEN(INDEX(#REF!,A237))+LEN(INDEX(#REF!,A237))+LEN(INDEX(#REF!,A237))&gt;0,LEN(INDEX(#REF!,A237-1))+LEN(INDEX(#REF!,A237-1))+LEN(INDEX(#REF!,A237-1))=0),$B$127,""),"")</f>
        <v/>
      </c>
      <c r="E237" s="113" t="str">
        <f>IF(AND(NOT(ISBLANK(INDEX(#REF!,A237))),OR(ISBLANK(INDEX(#REF!,A237)),ISBLANK(INDEX(#REF!,A237)))),VLOOKUP(INDEX(#REF!,A237),salaries_academic[],2,FALSE),"")</f>
        <v/>
      </c>
      <c r="F237" s="113" t="str">
        <f>IFERROR(IF(COUNTIF(INDEX(#REF!,A237),"*- PhD*")&gt;0,IF(INDEX(#REF!,A237)*INDEX(#REF!,A237)&lt;pers_PhD_min_months,$B$129,""),""),"")</f>
        <v/>
      </c>
      <c r="G237" s="113" t="str">
        <f>IFERROR(IF(COUNTIF(INDEX(#REF!,$A237),"*- PhD*")&gt;0,IF(INDEX(#REF!,$A237)*INDEX(#REF!,$A237)&gt;pers_PhD_max_months,$B$130,""),""),"")</f>
        <v/>
      </c>
      <c r="H237" s="113" t="str">
        <f>IFERROR(IF(COUNTIF(INDEX(#REF!,A237),"*year*")&gt;0,IF(INDEX(#REF!,A237)*INDEX(#REF!,A237)&lt;pers_3yPhD_min_months,$B$131,""),""),"")</f>
        <v/>
      </c>
      <c r="I237" s="113" t="str">
        <f>IFERROR(IF(COUNTIF(INDEX(#REF!,A237),"*PDEng*")&gt;0,IF(OR(IFERROR(MATCH("*PhD*",#REF!,0),0)&gt;0,IFERROR(MATCH("*PostDoc*",#REF!,0),0)&gt;0),"",$B$132),""),"")</f>
        <v/>
      </c>
      <c r="J237" s="113" t="str">
        <f>IFERROR(IF(COUNTIF(INDEX(#REF!,A237),"*PDEng*")&gt;0,IF(INDEX(#REF!,A237)*INDEX(#REF!,A237)&gt;pers_PDEng_max_months,$B$133,""),""),"")</f>
        <v/>
      </c>
      <c r="K237" s="113" t="str">
        <f>IFERROR(IF(COUNTIF(INDEX(#REF!,A237),"*PostDoc*")&gt;0,IF(INDEX(#REF!,A237)*INDEX(#REF!,A237)&lt;pers_PD_min_months,$B$134,""),""),"")</f>
        <v/>
      </c>
      <c r="L237" s="113" t="str">
        <f>IFERROR(IF(COUNTIF(INDEX(#REF!,A237),"*PostDoc*")&gt;0,IF(INDEX(#REF!,A237)*INDEX(#REF!,A237)&gt;pers_PD_max_months,$B$135,""),""),"")</f>
        <v/>
      </c>
      <c r="M237" s="113" t="str">
        <f>IFERROR(IF(COUNTIF(INDEX(#REF!,A237),"*Non-scientific*")&gt;0,IF(OR(IFERROR(MATCH("*PhD*",#REF!,0),0)&gt;0,IFERROR(MATCH("*PostDoc*",#REF!,0),0)&gt;0),"",$B$136),""),"")</f>
        <v/>
      </c>
      <c r="N237" s="113" t="str">
        <f>IFERROR(IF(COUNTIF(INDEX(#REF!,A237),"*Non-scientific*")&gt;0,IF(Total_NSP&gt;pers_max_NSP,$B$137,""),""),"")</f>
        <v/>
      </c>
      <c r="O237" s="113" t="str">
        <f>IFERROR(IF(COUNTIF(INDEX(#REF!,A237),"*Non-scientific*")&gt;0,IF(INDEX(#REF!,A237)*INDEX(#REF!,A237)&lt;pers_NSP_min_months,$B$138,""),""),"")</f>
        <v/>
      </c>
      <c r="P237" s="113" t="str">
        <f>IFERROR(IF(COUNTIF(INDEX(#REF!,A237),"*Non-scientific*")&gt;0,IF(INDEX(#REF!,A237)*INDEX(#REF!,A237)&gt;pers_NSP_max_months,$B$139,""),""),"")</f>
        <v/>
      </c>
      <c r="Q237" s="113" t="str">
        <f>IFERROR(IF(COUNTIF(INDEX(#REF!,A237),"*Other scientific*")&gt;0,IF(OR(IFERROR(MATCH("*PhD*",#REF!,0),0)&gt;0,IFERROR(MATCH("*PostDoc*",#REF!,0),0)&gt;0),"",$B$140),""),"")</f>
        <v/>
      </c>
      <c r="R237" s="113" t="str">
        <f>IFERROR(IF(COUNTIF(INDEX(#REF!,A237),"*Other scientific*")&gt;0,IF(Total_OSP&gt;pers_max_OSP,$B$141,""),""),"")</f>
        <v/>
      </c>
      <c r="S237" s="113" t="str">
        <f>IFERROR(IF(COUNTIF(INDEX(#REF!,A237),"*Other scientific*")&gt;0,IF(INDEX(#REF!,A237)*INDEX(#REF!,A237)&lt;pers_OSP_min_months,$B$142,""),""),"")</f>
        <v/>
      </c>
      <c r="T237" s="113" t="str">
        <f>IFERROR(IF(COUNTIF(INDEX(#REF!,A237),"*Other scientific*")&gt;0,IF(INDEX(#REF!,A237)*INDEX(#REF!,A237)&gt;pers_OSP_max_months,$B$143,""),""),"")</f>
        <v/>
      </c>
      <c r="U237" s="113" t="str">
        <f>IFERROR(IF(COUNTIF(INDEX(#REF!,A237),"*leave*")&gt;0,IF(Total_Research_leave&gt;pers_leave_maxperc*Total_NWO_funding,$B$144,""),""),"")</f>
        <v/>
      </c>
      <c r="V237" s="113" t="str">
        <f>IFERROR(IF(COUNTIF(INDEX(#REF!,A237),"*leave*")&gt;0,IF(Research_leave_FTE_months&gt;pers_leave_maxduration,$B$145,""),""),"")</f>
        <v/>
      </c>
      <c r="W237" s="113" t="str">
        <f>IFERROR(IF(AND(INDEX(#REF!,A237)=0,INDEX(salaries_academic[[category]:[1]],MATCH(INDEX(#REF!,A237),salaries_academic[category],0),3)=0),$B$148,""),"")</f>
        <v/>
      </c>
      <c r="X237" s="113" t="e">
        <f>IF(AND(organisation_type="yes",INDEX(#REF!,A237,1)&lt;&gt;"",ISBLANK(INDEX(#REF!,A237,1))),$B$146,"")</f>
        <v>#REF!</v>
      </c>
      <c r="Y237" s="113" t="e">
        <f>IF(AND(organisation_name="yes",INDEX(#REF!,A237,1)&lt;&gt;"",ISBLANK(INDEX(#REF!,A237,1))),$B$147,"")</f>
        <v>#REF!</v>
      </c>
      <c r="Z237" s="113" t="str">
        <f>IFERROR(IF(AND(INDEX(#REF!,A237)&gt;0,INDEX(salaries_academic[[category]:[1]],MATCH(INDEX(#REF!,A237),salaries_academic[category],0),3)&gt;0),$B$149,""),"")</f>
        <v/>
      </c>
    </row>
    <row r="238" spans="1:26" outlineLevel="1" x14ac:dyDescent="0.35">
      <c r="A238" s="113">
        <v>31</v>
      </c>
      <c r="B238" s="113" t="str">
        <f t="array" ref="B238">IFERROR(INDEX(personnel_ac_notes[[#This Row],[Exceeding nr months]:[Costs specified]],1,MATCH(TRUE,LEN(personnel_ac_notes[[#This Row],[Exceeding nr months]:[Costs specified]])&gt;0,0)),"")</f>
        <v/>
      </c>
      <c r="C238" s="113" t="str">
        <f>IFERROR(IF(INDEX(#REF!,A238)&gt;Max_project_duration,$B$128,""),"")</f>
        <v/>
      </c>
      <c r="D238" s="113" t="str">
        <f>IFERROR(IF(AND(LEN(INDEX(#REF!,A238))+LEN(INDEX(#REF!,A238))+LEN(INDEX(#REF!,A238))&gt;0,LEN(INDEX(#REF!,A238-1))+LEN(INDEX(#REF!,A238-1))+LEN(INDEX(#REF!,A238-1))=0),$B$127,""),"")</f>
        <v/>
      </c>
      <c r="E238" s="113" t="str">
        <f>IF(AND(NOT(ISBLANK(INDEX(#REF!,A238))),OR(ISBLANK(INDEX(#REF!,A238)),ISBLANK(INDEX(#REF!,A238)))),VLOOKUP(INDEX(#REF!,A238),salaries_academic[],2,FALSE),"")</f>
        <v/>
      </c>
      <c r="F238" s="113" t="str">
        <f>IFERROR(IF(COUNTIF(INDEX(#REF!,A238),"*- PhD*")&gt;0,IF(INDEX(#REF!,A238)*INDEX(#REF!,A238)&lt;pers_PhD_min_months,$B$129,""),""),"")</f>
        <v/>
      </c>
      <c r="G238" s="113" t="str">
        <f>IFERROR(IF(COUNTIF(INDEX(#REF!,$A238),"*- PhD*")&gt;0,IF(INDEX(#REF!,$A238)*INDEX(#REF!,$A238)&gt;pers_PhD_max_months,$B$130,""),""),"")</f>
        <v/>
      </c>
      <c r="H238" s="113" t="str">
        <f>IFERROR(IF(COUNTIF(INDEX(#REF!,A238),"*year*")&gt;0,IF(INDEX(#REF!,A238)*INDEX(#REF!,A238)&lt;pers_3yPhD_min_months,$B$131,""),""),"")</f>
        <v/>
      </c>
      <c r="I238" s="113" t="str">
        <f>IFERROR(IF(COUNTIF(INDEX(#REF!,A238),"*PDEng*")&gt;0,IF(OR(IFERROR(MATCH("*PhD*",#REF!,0),0)&gt;0,IFERROR(MATCH("*PostDoc*",#REF!,0),0)&gt;0),"",$B$132),""),"")</f>
        <v/>
      </c>
      <c r="J238" s="113" t="str">
        <f>IFERROR(IF(COUNTIF(INDEX(#REF!,A238),"*PDEng*")&gt;0,IF(INDEX(#REF!,A238)*INDEX(#REF!,A238)&gt;pers_PDEng_max_months,$B$133,""),""),"")</f>
        <v/>
      </c>
      <c r="K238" s="113" t="str">
        <f>IFERROR(IF(COUNTIF(INDEX(#REF!,A238),"*PostDoc*")&gt;0,IF(INDEX(#REF!,A238)*INDEX(#REF!,A238)&lt;pers_PD_min_months,$B$134,""),""),"")</f>
        <v/>
      </c>
      <c r="L238" s="113" t="str">
        <f>IFERROR(IF(COUNTIF(INDEX(#REF!,A238),"*PostDoc*")&gt;0,IF(INDEX(#REF!,A238)*INDEX(#REF!,A238)&gt;pers_PD_max_months,$B$135,""),""),"")</f>
        <v/>
      </c>
      <c r="M238" s="113" t="str">
        <f>IFERROR(IF(COUNTIF(INDEX(#REF!,A238),"*Non-scientific*")&gt;0,IF(OR(IFERROR(MATCH("*PhD*",#REF!,0),0)&gt;0,IFERROR(MATCH("*PostDoc*",#REF!,0),0)&gt;0),"",$B$136),""),"")</f>
        <v/>
      </c>
      <c r="N238" s="113" t="str">
        <f>IFERROR(IF(COUNTIF(INDEX(#REF!,A238),"*Non-scientific*")&gt;0,IF(Total_NSP&gt;pers_max_NSP,$B$137,""),""),"")</f>
        <v/>
      </c>
      <c r="O238" s="113" t="str">
        <f>IFERROR(IF(COUNTIF(INDEX(#REF!,A238),"*Non-scientific*")&gt;0,IF(INDEX(#REF!,A238)*INDEX(#REF!,A238)&lt;pers_NSP_min_months,$B$138,""),""),"")</f>
        <v/>
      </c>
      <c r="P238" s="113" t="str">
        <f>IFERROR(IF(COUNTIF(INDEX(#REF!,A238),"*Non-scientific*")&gt;0,IF(INDEX(#REF!,A238)*INDEX(#REF!,A238)&gt;pers_NSP_max_months,$B$139,""),""),"")</f>
        <v/>
      </c>
      <c r="Q238" s="113" t="str">
        <f>IFERROR(IF(COUNTIF(INDEX(#REF!,A238),"*Other scientific*")&gt;0,IF(OR(IFERROR(MATCH("*PhD*",#REF!,0),0)&gt;0,IFERROR(MATCH("*PostDoc*",#REF!,0),0)&gt;0),"",$B$140),""),"")</f>
        <v/>
      </c>
      <c r="R238" s="113" t="str">
        <f>IFERROR(IF(COUNTIF(INDEX(#REF!,A238),"*Other scientific*")&gt;0,IF(Total_OSP&gt;pers_max_OSP,$B$141,""),""),"")</f>
        <v/>
      </c>
      <c r="S238" s="113" t="str">
        <f>IFERROR(IF(COUNTIF(INDEX(#REF!,A238),"*Other scientific*")&gt;0,IF(INDEX(#REF!,A238)*INDEX(#REF!,A238)&lt;pers_OSP_min_months,$B$142,""),""),"")</f>
        <v/>
      </c>
      <c r="T238" s="113" t="str">
        <f>IFERROR(IF(COUNTIF(INDEX(#REF!,A238),"*Other scientific*")&gt;0,IF(INDEX(#REF!,A238)*INDEX(#REF!,A238)&gt;pers_OSP_max_months,$B$143,""),""),"")</f>
        <v/>
      </c>
      <c r="U238" s="113" t="str">
        <f>IFERROR(IF(COUNTIF(INDEX(#REF!,A238),"*leave*")&gt;0,IF(Total_Research_leave&gt;pers_leave_maxperc*Total_NWO_funding,$B$144,""),""),"")</f>
        <v/>
      </c>
      <c r="V238" s="113" t="str">
        <f>IFERROR(IF(COUNTIF(INDEX(#REF!,A238),"*leave*")&gt;0,IF(Research_leave_FTE_months&gt;pers_leave_maxduration,$B$145,""),""),"")</f>
        <v/>
      </c>
      <c r="W238" s="113" t="str">
        <f>IFERROR(IF(AND(INDEX(#REF!,A238)=0,INDEX(salaries_academic[[category]:[1]],MATCH(INDEX(#REF!,A238),salaries_academic[category],0),3)=0),$B$148,""),"")</f>
        <v/>
      </c>
      <c r="X238" s="113" t="e">
        <f>IF(AND(organisation_type="yes",INDEX(#REF!,A238,1)&lt;&gt;"",ISBLANK(INDEX(#REF!,A238,1))),$B$146,"")</f>
        <v>#REF!</v>
      </c>
      <c r="Y238" s="113" t="e">
        <f>IF(AND(organisation_name="yes",INDEX(#REF!,A238,1)&lt;&gt;"",ISBLANK(INDEX(#REF!,A238,1))),$B$147,"")</f>
        <v>#REF!</v>
      </c>
      <c r="Z238" s="113" t="str">
        <f>IFERROR(IF(AND(INDEX(#REF!,A238)&gt;0,INDEX(salaries_academic[[category]:[1]],MATCH(INDEX(#REF!,A238),salaries_academic[category],0),3)&gt;0),$B$149,""),"")</f>
        <v/>
      </c>
    </row>
    <row r="239" spans="1:26" outlineLevel="1" x14ac:dyDescent="0.35">
      <c r="A239" s="113">
        <v>32</v>
      </c>
      <c r="B239" s="113" t="str">
        <f t="array" ref="B239">IFERROR(INDEX(personnel_ac_notes[[#This Row],[Exceeding nr months]:[Costs specified]],1,MATCH(TRUE,LEN(personnel_ac_notes[[#This Row],[Exceeding nr months]:[Costs specified]])&gt;0,0)),"")</f>
        <v/>
      </c>
      <c r="C239" s="113" t="str">
        <f>IFERROR(IF(INDEX(#REF!,A239)&gt;Max_project_duration,$B$128,""),"")</f>
        <v/>
      </c>
      <c r="D239" s="113" t="str">
        <f>IFERROR(IF(AND(LEN(INDEX(#REF!,A239))+LEN(INDEX(#REF!,A239))+LEN(INDEX(#REF!,A239))&gt;0,LEN(INDEX(#REF!,A239-1))+LEN(INDEX(#REF!,A239-1))+LEN(INDEX(#REF!,A239-1))=0),$B$127,""),"")</f>
        <v/>
      </c>
      <c r="E239" s="113" t="str">
        <f>IF(AND(NOT(ISBLANK(INDEX(#REF!,A239))),OR(ISBLANK(INDEX(#REF!,A239)),ISBLANK(INDEX(#REF!,A239)))),VLOOKUP(INDEX(#REF!,A239),salaries_academic[],2,FALSE),"")</f>
        <v/>
      </c>
      <c r="F239" s="113" t="str">
        <f>IFERROR(IF(COUNTIF(INDEX(#REF!,A239),"*- PhD*")&gt;0,IF(INDEX(#REF!,A239)*INDEX(#REF!,A239)&lt;pers_PhD_min_months,$B$129,""),""),"")</f>
        <v/>
      </c>
      <c r="G239" s="113" t="str">
        <f>IFERROR(IF(COUNTIF(INDEX(#REF!,$A239),"*- PhD*")&gt;0,IF(INDEX(#REF!,$A239)*INDEX(#REF!,$A239)&gt;pers_PhD_max_months,$B$130,""),""),"")</f>
        <v/>
      </c>
      <c r="H239" s="113" t="str">
        <f>IFERROR(IF(COUNTIF(INDEX(#REF!,A239),"*year*")&gt;0,IF(INDEX(#REF!,A239)*INDEX(#REF!,A239)&lt;pers_3yPhD_min_months,$B$131,""),""),"")</f>
        <v/>
      </c>
      <c r="I239" s="113" t="str">
        <f>IFERROR(IF(COUNTIF(INDEX(#REF!,A239),"*PDEng*")&gt;0,IF(OR(IFERROR(MATCH("*PhD*",#REF!,0),0)&gt;0,IFERROR(MATCH("*PostDoc*",#REF!,0),0)&gt;0),"",$B$132),""),"")</f>
        <v/>
      </c>
      <c r="J239" s="113" t="str">
        <f>IFERROR(IF(COUNTIF(INDEX(#REF!,A239),"*PDEng*")&gt;0,IF(INDEX(#REF!,A239)*INDEX(#REF!,A239)&gt;pers_PDEng_max_months,$B$133,""),""),"")</f>
        <v/>
      </c>
      <c r="K239" s="113" t="str">
        <f>IFERROR(IF(COUNTIF(INDEX(#REF!,A239),"*PostDoc*")&gt;0,IF(INDEX(#REF!,A239)*INDEX(#REF!,A239)&lt;pers_PD_min_months,$B$134,""),""),"")</f>
        <v/>
      </c>
      <c r="L239" s="113" t="str">
        <f>IFERROR(IF(COUNTIF(INDEX(#REF!,A239),"*PostDoc*")&gt;0,IF(INDEX(#REF!,A239)*INDEX(#REF!,A239)&gt;pers_PD_max_months,$B$135,""),""),"")</f>
        <v/>
      </c>
      <c r="M239" s="113" t="str">
        <f>IFERROR(IF(COUNTIF(INDEX(#REF!,A239),"*Non-scientific*")&gt;0,IF(OR(IFERROR(MATCH("*PhD*",#REF!,0),0)&gt;0,IFERROR(MATCH("*PostDoc*",#REF!,0),0)&gt;0),"",$B$136),""),"")</f>
        <v/>
      </c>
      <c r="N239" s="113" t="str">
        <f>IFERROR(IF(COUNTIF(INDEX(#REF!,A239),"*Non-scientific*")&gt;0,IF(Total_NSP&gt;pers_max_NSP,$B$137,""),""),"")</f>
        <v/>
      </c>
      <c r="O239" s="113" t="str">
        <f>IFERROR(IF(COUNTIF(INDEX(#REF!,A239),"*Non-scientific*")&gt;0,IF(INDEX(#REF!,A239)*INDEX(#REF!,A239)&lt;pers_NSP_min_months,$B$138,""),""),"")</f>
        <v/>
      </c>
      <c r="P239" s="113" t="str">
        <f>IFERROR(IF(COUNTIF(INDEX(#REF!,A239),"*Non-scientific*")&gt;0,IF(INDEX(#REF!,A239)*INDEX(#REF!,A239)&gt;pers_NSP_max_months,$B$139,""),""),"")</f>
        <v/>
      </c>
      <c r="Q239" s="113" t="str">
        <f>IFERROR(IF(COUNTIF(INDEX(#REF!,A239),"*Other scientific*")&gt;0,IF(OR(IFERROR(MATCH("*PhD*",#REF!,0),0)&gt;0,IFERROR(MATCH("*PostDoc*",#REF!,0),0)&gt;0),"",$B$140),""),"")</f>
        <v/>
      </c>
      <c r="R239" s="113" t="str">
        <f>IFERROR(IF(COUNTIF(INDEX(#REF!,A239),"*Other scientific*")&gt;0,IF(Total_OSP&gt;pers_max_OSP,$B$141,""),""),"")</f>
        <v/>
      </c>
      <c r="S239" s="113" t="str">
        <f>IFERROR(IF(COUNTIF(INDEX(#REF!,A239),"*Other scientific*")&gt;0,IF(INDEX(#REF!,A239)*INDEX(#REF!,A239)&lt;pers_OSP_min_months,$B$142,""),""),"")</f>
        <v/>
      </c>
      <c r="T239" s="113" t="str">
        <f>IFERROR(IF(COUNTIF(INDEX(#REF!,A239),"*Other scientific*")&gt;0,IF(INDEX(#REF!,A239)*INDEX(#REF!,A239)&gt;pers_OSP_max_months,$B$143,""),""),"")</f>
        <v/>
      </c>
      <c r="U239" s="113" t="str">
        <f>IFERROR(IF(COUNTIF(INDEX(#REF!,A239),"*leave*")&gt;0,IF(Total_Research_leave&gt;pers_leave_maxperc*Total_NWO_funding,$B$144,""),""),"")</f>
        <v/>
      </c>
      <c r="V239" s="113" t="str">
        <f>IFERROR(IF(COUNTIF(INDEX(#REF!,A239),"*leave*")&gt;0,IF(Research_leave_FTE_months&gt;pers_leave_maxduration,$B$145,""),""),"")</f>
        <v/>
      </c>
      <c r="W239" s="113" t="str">
        <f>IFERROR(IF(AND(INDEX(#REF!,A239)=0,INDEX(salaries_academic[[category]:[1]],MATCH(INDEX(#REF!,A239),salaries_academic[category],0),3)=0),$B$148,""),"")</f>
        <v/>
      </c>
      <c r="X239" s="113" t="e">
        <f>IF(AND(organisation_type="yes",INDEX(#REF!,A239,1)&lt;&gt;"",ISBLANK(INDEX(#REF!,A239,1))),$B$146,"")</f>
        <v>#REF!</v>
      </c>
      <c r="Y239" s="113" t="e">
        <f>IF(AND(organisation_name="yes",INDEX(#REF!,A239,1)&lt;&gt;"",ISBLANK(INDEX(#REF!,A239,1))),$B$147,"")</f>
        <v>#REF!</v>
      </c>
      <c r="Z239" s="113" t="str">
        <f>IFERROR(IF(AND(INDEX(#REF!,A239)&gt;0,INDEX(salaries_academic[[category]:[1]],MATCH(INDEX(#REF!,A239),salaries_academic[category],0),3)&gt;0),$B$149,""),"")</f>
        <v/>
      </c>
    </row>
    <row r="240" spans="1:26" outlineLevel="1" x14ac:dyDescent="0.35">
      <c r="A240" s="113">
        <v>33</v>
      </c>
      <c r="B240" s="113" t="str">
        <f t="array" ref="B240">IFERROR(INDEX(personnel_ac_notes[[#This Row],[Exceeding nr months]:[Costs specified]],1,MATCH(TRUE,LEN(personnel_ac_notes[[#This Row],[Exceeding nr months]:[Costs specified]])&gt;0,0)),"")</f>
        <v/>
      </c>
      <c r="C240" s="113" t="str">
        <f>IFERROR(IF(INDEX(#REF!,A240)&gt;Max_project_duration,$B$128,""),"")</f>
        <v/>
      </c>
      <c r="D240" s="113" t="str">
        <f>IFERROR(IF(AND(LEN(INDEX(#REF!,A240))+LEN(INDEX(#REF!,A240))+LEN(INDEX(#REF!,A240))&gt;0,LEN(INDEX(#REF!,A240-1))+LEN(INDEX(#REF!,A240-1))+LEN(INDEX(#REF!,A240-1))=0),$B$127,""),"")</f>
        <v/>
      </c>
      <c r="E240" s="113" t="str">
        <f>IF(AND(NOT(ISBLANK(INDEX(#REF!,A240))),OR(ISBLANK(INDEX(#REF!,A240)),ISBLANK(INDEX(#REF!,A240)))),VLOOKUP(INDEX(#REF!,A240),salaries_academic[],2,FALSE),"")</f>
        <v/>
      </c>
      <c r="F240" s="113" t="str">
        <f>IFERROR(IF(COUNTIF(INDEX(#REF!,A240),"*- PhD*")&gt;0,IF(INDEX(#REF!,A240)*INDEX(#REF!,A240)&lt;pers_PhD_min_months,$B$129,""),""),"")</f>
        <v/>
      </c>
      <c r="G240" s="113" t="str">
        <f>IFERROR(IF(COUNTIF(INDEX(#REF!,$A240),"*- PhD*")&gt;0,IF(INDEX(#REF!,$A240)*INDEX(#REF!,$A240)&gt;pers_PhD_max_months,$B$130,""),""),"")</f>
        <v/>
      </c>
      <c r="H240" s="113" t="str">
        <f>IFERROR(IF(COUNTIF(INDEX(#REF!,A240),"*year*")&gt;0,IF(INDEX(#REF!,A240)*INDEX(#REF!,A240)&lt;pers_3yPhD_min_months,$B$131,""),""),"")</f>
        <v/>
      </c>
      <c r="I240" s="113" t="str">
        <f>IFERROR(IF(COUNTIF(INDEX(#REF!,A240),"*PDEng*")&gt;0,IF(OR(IFERROR(MATCH("*PhD*",#REF!,0),0)&gt;0,IFERROR(MATCH("*PostDoc*",#REF!,0),0)&gt;0),"",$B$132),""),"")</f>
        <v/>
      </c>
      <c r="J240" s="113" t="str">
        <f>IFERROR(IF(COUNTIF(INDEX(#REF!,A240),"*PDEng*")&gt;0,IF(INDEX(#REF!,A240)*INDEX(#REF!,A240)&gt;pers_PDEng_max_months,$B$133,""),""),"")</f>
        <v/>
      </c>
      <c r="K240" s="113" t="str">
        <f>IFERROR(IF(COUNTIF(INDEX(#REF!,A240),"*PostDoc*")&gt;0,IF(INDEX(#REF!,A240)*INDEX(#REF!,A240)&lt;pers_PD_min_months,$B$134,""),""),"")</f>
        <v/>
      </c>
      <c r="L240" s="113" t="str">
        <f>IFERROR(IF(COUNTIF(INDEX(#REF!,A240),"*PostDoc*")&gt;0,IF(INDEX(#REF!,A240)*INDEX(#REF!,A240)&gt;pers_PD_max_months,$B$135,""),""),"")</f>
        <v/>
      </c>
      <c r="M240" s="113" t="str">
        <f>IFERROR(IF(COUNTIF(INDEX(#REF!,A240),"*Non-scientific*")&gt;0,IF(OR(IFERROR(MATCH("*PhD*",#REF!,0),0)&gt;0,IFERROR(MATCH("*PostDoc*",#REF!,0),0)&gt;0),"",$B$136),""),"")</f>
        <v/>
      </c>
      <c r="N240" s="113" t="str">
        <f>IFERROR(IF(COUNTIF(INDEX(#REF!,A240),"*Non-scientific*")&gt;0,IF(Total_NSP&gt;pers_max_NSP,$B$137,""),""),"")</f>
        <v/>
      </c>
      <c r="O240" s="113" t="str">
        <f>IFERROR(IF(COUNTIF(INDEX(#REF!,A240),"*Non-scientific*")&gt;0,IF(INDEX(#REF!,A240)*INDEX(#REF!,A240)&lt;pers_NSP_min_months,$B$138,""),""),"")</f>
        <v/>
      </c>
      <c r="P240" s="113" t="str">
        <f>IFERROR(IF(COUNTIF(INDEX(#REF!,A240),"*Non-scientific*")&gt;0,IF(INDEX(#REF!,A240)*INDEX(#REF!,A240)&gt;pers_NSP_max_months,$B$139,""),""),"")</f>
        <v/>
      </c>
      <c r="Q240" s="113" t="str">
        <f>IFERROR(IF(COUNTIF(INDEX(#REF!,A240),"*Other scientific*")&gt;0,IF(OR(IFERROR(MATCH("*PhD*",#REF!,0),0)&gt;0,IFERROR(MATCH("*PostDoc*",#REF!,0),0)&gt;0),"",$B$140),""),"")</f>
        <v/>
      </c>
      <c r="R240" s="113" t="str">
        <f>IFERROR(IF(COUNTIF(INDEX(#REF!,A240),"*Other scientific*")&gt;0,IF(Total_OSP&gt;pers_max_OSP,$B$141,""),""),"")</f>
        <v/>
      </c>
      <c r="S240" s="113" t="str">
        <f>IFERROR(IF(COUNTIF(INDEX(#REF!,A240),"*Other scientific*")&gt;0,IF(INDEX(#REF!,A240)*INDEX(#REF!,A240)&lt;pers_OSP_min_months,$B$142,""),""),"")</f>
        <v/>
      </c>
      <c r="T240" s="113" t="str">
        <f>IFERROR(IF(COUNTIF(INDEX(#REF!,A240),"*Other scientific*")&gt;0,IF(INDEX(#REF!,A240)*INDEX(#REF!,A240)&gt;pers_OSP_max_months,$B$143,""),""),"")</f>
        <v/>
      </c>
      <c r="U240" s="113" t="str">
        <f>IFERROR(IF(COUNTIF(INDEX(#REF!,A240),"*leave*")&gt;0,IF(Total_Research_leave&gt;pers_leave_maxperc*Total_NWO_funding,$B$144,""),""),"")</f>
        <v/>
      </c>
      <c r="V240" s="113" t="str">
        <f>IFERROR(IF(COUNTIF(INDEX(#REF!,A240),"*leave*")&gt;0,IF(Research_leave_FTE_months&gt;pers_leave_maxduration,$B$145,""),""),"")</f>
        <v/>
      </c>
      <c r="W240" s="113" t="str">
        <f>IFERROR(IF(AND(INDEX(#REF!,A240)=0,INDEX(salaries_academic[[category]:[1]],MATCH(INDEX(#REF!,A240),salaries_academic[category],0),3)=0),$B$148,""),"")</f>
        <v/>
      </c>
      <c r="X240" s="113" t="e">
        <f>IF(AND(organisation_type="yes",INDEX(#REF!,A240,1)&lt;&gt;"",ISBLANK(INDEX(#REF!,A240,1))),$B$146,"")</f>
        <v>#REF!</v>
      </c>
      <c r="Y240" s="113" t="e">
        <f>IF(AND(organisation_name="yes",INDEX(#REF!,A240,1)&lt;&gt;"",ISBLANK(INDEX(#REF!,A240,1))),$B$147,"")</f>
        <v>#REF!</v>
      </c>
      <c r="Z240" s="113" t="str">
        <f>IFERROR(IF(AND(INDEX(#REF!,A240)&gt;0,INDEX(salaries_academic[[category]:[1]],MATCH(INDEX(#REF!,A240),salaries_academic[category],0),3)&gt;0),$B$149,""),"")</f>
        <v/>
      </c>
    </row>
    <row r="241" spans="1:26" outlineLevel="1" x14ac:dyDescent="0.35">
      <c r="A241" s="113">
        <v>34</v>
      </c>
      <c r="B241" s="113" t="str">
        <f t="array" ref="B241">IFERROR(INDEX(personnel_ac_notes[[#This Row],[Exceeding nr months]:[Costs specified]],1,MATCH(TRUE,LEN(personnel_ac_notes[[#This Row],[Exceeding nr months]:[Costs specified]])&gt;0,0)),"")</f>
        <v/>
      </c>
      <c r="C241" s="113" t="str">
        <f>IFERROR(IF(INDEX(#REF!,A241)&gt;Max_project_duration,$B$128,""),"")</f>
        <v/>
      </c>
      <c r="D241" s="113" t="str">
        <f>IFERROR(IF(AND(LEN(INDEX(#REF!,A241))+LEN(INDEX(#REF!,A241))+LEN(INDEX(#REF!,A241))&gt;0,LEN(INDEX(#REF!,A241-1))+LEN(INDEX(#REF!,A241-1))+LEN(INDEX(#REF!,A241-1))=0),$B$127,""),"")</f>
        <v/>
      </c>
      <c r="E241" s="113" t="str">
        <f>IF(AND(NOT(ISBLANK(INDEX(#REF!,A241))),OR(ISBLANK(INDEX(#REF!,A241)),ISBLANK(INDEX(#REF!,A241)))),VLOOKUP(INDEX(#REF!,A241),salaries_academic[],2,FALSE),"")</f>
        <v/>
      </c>
      <c r="F241" s="113" t="str">
        <f>IFERROR(IF(COUNTIF(INDEX(#REF!,A241),"*- PhD*")&gt;0,IF(INDEX(#REF!,A241)*INDEX(#REF!,A241)&lt;pers_PhD_min_months,$B$129,""),""),"")</f>
        <v/>
      </c>
      <c r="G241" s="113" t="str">
        <f>IFERROR(IF(COUNTIF(INDEX(#REF!,$A241),"*- PhD*")&gt;0,IF(INDEX(#REF!,$A241)*INDEX(#REF!,$A241)&gt;pers_PhD_max_months,$B$130,""),""),"")</f>
        <v/>
      </c>
      <c r="H241" s="113" t="str">
        <f>IFERROR(IF(COUNTIF(INDEX(#REF!,A241),"*year*")&gt;0,IF(INDEX(#REF!,A241)*INDEX(#REF!,A241)&lt;pers_3yPhD_min_months,$B$131,""),""),"")</f>
        <v/>
      </c>
      <c r="I241" s="113" t="str">
        <f>IFERROR(IF(COUNTIF(INDEX(#REF!,A241),"*PDEng*")&gt;0,IF(OR(IFERROR(MATCH("*PhD*",#REF!,0),0)&gt;0,IFERROR(MATCH("*PostDoc*",#REF!,0),0)&gt;0),"",$B$132),""),"")</f>
        <v/>
      </c>
      <c r="J241" s="113" t="str">
        <f>IFERROR(IF(COUNTIF(INDEX(#REF!,A241),"*PDEng*")&gt;0,IF(INDEX(#REF!,A241)*INDEX(#REF!,A241)&gt;pers_PDEng_max_months,$B$133,""),""),"")</f>
        <v/>
      </c>
      <c r="K241" s="113" t="str">
        <f>IFERROR(IF(COUNTIF(INDEX(#REF!,A241),"*PostDoc*")&gt;0,IF(INDEX(#REF!,A241)*INDEX(#REF!,A241)&lt;pers_PD_min_months,$B$134,""),""),"")</f>
        <v/>
      </c>
      <c r="L241" s="113" t="str">
        <f>IFERROR(IF(COUNTIF(INDEX(#REF!,A241),"*PostDoc*")&gt;0,IF(INDEX(#REF!,A241)*INDEX(#REF!,A241)&gt;pers_PD_max_months,$B$135,""),""),"")</f>
        <v/>
      </c>
      <c r="M241" s="113" t="str">
        <f>IFERROR(IF(COUNTIF(INDEX(#REF!,A241),"*Non-scientific*")&gt;0,IF(OR(IFERROR(MATCH("*PhD*",#REF!,0),0)&gt;0,IFERROR(MATCH("*PostDoc*",#REF!,0),0)&gt;0),"",$B$136),""),"")</f>
        <v/>
      </c>
      <c r="N241" s="113" t="str">
        <f>IFERROR(IF(COUNTIF(INDEX(#REF!,A241),"*Non-scientific*")&gt;0,IF(Total_NSP&gt;pers_max_NSP,$B$137,""),""),"")</f>
        <v/>
      </c>
      <c r="O241" s="113" t="str">
        <f>IFERROR(IF(COUNTIF(INDEX(#REF!,A241),"*Non-scientific*")&gt;0,IF(INDEX(#REF!,A241)*INDEX(#REF!,A241)&lt;pers_NSP_min_months,$B$138,""),""),"")</f>
        <v/>
      </c>
      <c r="P241" s="113" t="str">
        <f>IFERROR(IF(COUNTIF(INDEX(#REF!,A241),"*Non-scientific*")&gt;0,IF(INDEX(#REF!,A241)*INDEX(#REF!,A241)&gt;pers_NSP_max_months,$B$139,""),""),"")</f>
        <v/>
      </c>
      <c r="Q241" s="113" t="str">
        <f>IFERROR(IF(COUNTIF(INDEX(#REF!,A241),"*Other scientific*")&gt;0,IF(OR(IFERROR(MATCH("*PhD*",#REF!,0),0)&gt;0,IFERROR(MATCH("*PostDoc*",#REF!,0),0)&gt;0),"",$B$140),""),"")</f>
        <v/>
      </c>
      <c r="R241" s="113" t="str">
        <f>IFERROR(IF(COUNTIF(INDEX(#REF!,A241),"*Other scientific*")&gt;0,IF(Total_OSP&gt;pers_max_OSP,$B$141,""),""),"")</f>
        <v/>
      </c>
      <c r="S241" s="113" t="str">
        <f>IFERROR(IF(COUNTIF(INDEX(#REF!,A241),"*Other scientific*")&gt;0,IF(INDEX(#REF!,A241)*INDEX(#REF!,A241)&lt;pers_OSP_min_months,$B$142,""),""),"")</f>
        <v/>
      </c>
      <c r="T241" s="113" t="str">
        <f>IFERROR(IF(COUNTIF(INDEX(#REF!,A241),"*Other scientific*")&gt;0,IF(INDEX(#REF!,A241)*INDEX(#REF!,A241)&gt;pers_OSP_max_months,$B$143,""),""),"")</f>
        <v/>
      </c>
      <c r="U241" s="113" t="str">
        <f>IFERROR(IF(COUNTIF(INDEX(#REF!,A241),"*leave*")&gt;0,IF(Total_Research_leave&gt;pers_leave_maxperc*Total_NWO_funding,$B$144,""),""),"")</f>
        <v/>
      </c>
      <c r="V241" s="113" t="str">
        <f>IFERROR(IF(COUNTIF(INDEX(#REF!,A241),"*leave*")&gt;0,IF(Research_leave_FTE_months&gt;pers_leave_maxduration,$B$145,""),""),"")</f>
        <v/>
      </c>
      <c r="W241" s="113" t="str">
        <f>IFERROR(IF(AND(INDEX(#REF!,A241)=0,INDEX(salaries_academic[[category]:[1]],MATCH(INDEX(#REF!,A241),salaries_academic[category],0),3)=0),$B$148,""),"")</f>
        <v/>
      </c>
      <c r="X241" s="113" t="e">
        <f>IF(AND(organisation_type="yes",INDEX(#REF!,A241,1)&lt;&gt;"",ISBLANK(INDEX(#REF!,A241,1))),$B$146,"")</f>
        <v>#REF!</v>
      </c>
      <c r="Y241" s="113" t="e">
        <f>IF(AND(organisation_name="yes",INDEX(#REF!,A241,1)&lt;&gt;"",ISBLANK(INDEX(#REF!,A241,1))),$B$147,"")</f>
        <v>#REF!</v>
      </c>
      <c r="Z241" s="113" t="str">
        <f>IFERROR(IF(AND(INDEX(#REF!,A241)&gt;0,INDEX(salaries_academic[[category]:[1]],MATCH(INDEX(#REF!,A241),salaries_academic[category],0),3)&gt;0),$B$149,""),"")</f>
        <v/>
      </c>
    </row>
    <row r="242" spans="1:26" outlineLevel="1" x14ac:dyDescent="0.35">
      <c r="A242" s="113">
        <v>35</v>
      </c>
      <c r="B242" s="113" t="str">
        <f t="array" ref="B242">IFERROR(INDEX(personnel_ac_notes[[#This Row],[Exceeding nr months]:[Costs specified]],1,MATCH(TRUE,LEN(personnel_ac_notes[[#This Row],[Exceeding nr months]:[Costs specified]])&gt;0,0)),"")</f>
        <v/>
      </c>
      <c r="C242" s="113" t="str">
        <f>IFERROR(IF(INDEX(#REF!,A242)&gt;Max_project_duration,$B$128,""),"")</f>
        <v/>
      </c>
      <c r="D242" s="113" t="str">
        <f>IFERROR(IF(AND(LEN(INDEX(#REF!,A242))+LEN(INDEX(#REF!,A242))+LEN(INDEX(#REF!,A242))&gt;0,LEN(INDEX(#REF!,A242-1))+LEN(INDEX(#REF!,A242-1))+LEN(INDEX(#REF!,A242-1))=0),$B$127,""),"")</f>
        <v/>
      </c>
      <c r="E242" s="113" t="str">
        <f>IF(AND(NOT(ISBLANK(INDEX(#REF!,A242))),OR(ISBLANK(INDEX(#REF!,A242)),ISBLANK(INDEX(#REF!,A242)))),VLOOKUP(INDEX(#REF!,A242),salaries_academic[],2,FALSE),"")</f>
        <v/>
      </c>
      <c r="F242" s="113" t="str">
        <f>IFERROR(IF(COUNTIF(INDEX(#REF!,A242),"*- PhD*")&gt;0,IF(INDEX(#REF!,A242)*INDEX(#REF!,A242)&lt;pers_PhD_min_months,$B$129,""),""),"")</f>
        <v/>
      </c>
      <c r="G242" s="113" t="str">
        <f>IFERROR(IF(COUNTIF(INDEX(#REF!,$A242),"*- PhD*")&gt;0,IF(INDEX(#REF!,$A242)*INDEX(#REF!,$A242)&gt;pers_PhD_max_months,$B$130,""),""),"")</f>
        <v/>
      </c>
      <c r="H242" s="113" t="str">
        <f>IFERROR(IF(COUNTIF(INDEX(#REF!,A242),"*year*")&gt;0,IF(INDEX(#REF!,A242)*INDEX(#REF!,A242)&lt;pers_3yPhD_min_months,$B$131,""),""),"")</f>
        <v/>
      </c>
      <c r="I242" s="113" t="str">
        <f>IFERROR(IF(COUNTIF(INDEX(#REF!,A242),"*PDEng*")&gt;0,IF(OR(IFERROR(MATCH("*PhD*",#REF!,0),0)&gt;0,IFERROR(MATCH("*PostDoc*",#REF!,0),0)&gt;0),"",$B$132),""),"")</f>
        <v/>
      </c>
      <c r="J242" s="113" t="str">
        <f>IFERROR(IF(COUNTIF(INDEX(#REF!,A242),"*PDEng*")&gt;0,IF(INDEX(#REF!,A242)*INDEX(#REF!,A242)&gt;pers_PDEng_max_months,$B$133,""),""),"")</f>
        <v/>
      </c>
      <c r="K242" s="113" t="str">
        <f>IFERROR(IF(COUNTIF(INDEX(#REF!,A242),"*PostDoc*")&gt;0,IF(INDEX(#REF!,A242)*INDEX(#REF!,A242)&lt;pers_PD_min_months,$B$134,""),""),"")</f>
        <v/>
      </c>
      <c r="L242" s="113" t="str">
        <f>IFERROR(IF(COUNTIF(INDEX(#REF!,A242),"*PostDoc*")&gt;0,IF(INDEX(#REF!,A242)*INDEX(#REF!,A242)&gt;pers_PD_max_months,$B$135,""),""),"")</f>
        <v/>
      </c>
      <c r="M242" s="113" t="str">
        <f>IFERROR(IF(COUNTIF(INDEX(#REF!,A242),"*Non-scientific*")&gt;0,IF(OR(IFERROR(MATCH("*PhD*",#REF!,0),0)&gt;0,IFERROR(MATCH("*PostDoc*",#REF!,0),0)&gt;0),"",$B$136),""),"")</f>
        <v/>
      </c>
      <c r="N242" s="113" t="str">
        <f>IFERROR(IF(COUNTIF(INDEX(#REF!,A242),"*Non-scientific*")&gt;0,IF(Total_NSP&gt;pers_max_NSP,$B$137,""),""),"")</f>
        <v/>
      </c>
      <c r="O242" s="113" t="str">
        <f>IFERROR(IF(COUNTIF(INDEX(#REF!,A242),"*Non-scientific*")&gt;0,IF(INDEX(#REF!,A242)*INDEX(#REF!,A242)&lt;pers_NSP_min_months,$B$138,""),""),"")</f>
        <v/>
      </c>
      <c r="P242" s="113" t="str">
        <f>IFERROR(IF(COUNTIF(INDEX(#REF!,A242),"*Non-scientific*")&gt;0,IF(INDEX(#REF!,A242)*INDEX(#REF!,A242)&gt;pers_NSP_max_months,$B$139,""),""),"")</f>
        <v/>
      </c>
      <c r="Q242" s="113" t="str">
        <f>IFERROR(IF(COUNTIF(INDEX(#REF!,A242),"*Other scientific*")&gt;0,IF(OR(IFERROR(MATCH("*PhD*",#REF!,0),0)&gt;0,IFERROR(MATCH("*PostDoc*",#REF!,0),0)&gt;0),"",$B$140),""),"")</f>
        <v/>
      </c>
      <c r="R242" s="113" t="str">
        <f>IFERROR(IF(COUNTIF(INDEX(#REF!,A242),"*Other scientific*")&gt;0,IF(Total_OSP&gt;pers_max_OSP,$B$141,""),""),"")</f>
        <v/>
      </c>
      <c r="S242" s="113" t="str">
        <f>IFERROR(IF(COUNTIF(INDEX(#REF!,A242),"*Other scientific*")&gt;0,IF(INDEX(#REF!,A242)*INDEX(#REF!,A242)&lt;pers_OSP_min_months,$B$142,""),""),"")</f>
        <v/>
      </c>
      <c r="T242" s="113" t="str">
        <f>IFERROR(IF(COUNTIF(INDEX(#REF!,A242),"*Other scientific*")&gt;0,IF(INDEX(#REF!,A242)*INDEX(#REF!,A242)&gt;pers_OSP_max_months,$B$143,""),""),"")</f>
        <v/>
      </c>
      <c r="U242" s="113" t="str">
        <f>IFERROR(IF(COUNTIF(INDEX(#REF!,A242),"*leave*")&gt;0,IF(Total_Research_leave&gt;pers_leave_maxperc*Total_NWO_funding,$B$144,""),""),"")</f>
        <v/>
      </c>
      <c r="V242" s="113" t="str">
        <f>IFERROR(IF(COUNTIF(INDEX(#REF!,A242),"*leave*")&gt;0,IF(Research_leave_FTE_months&gt;pers_leave_maxduration,$B$145,""),""),"")</f>
        <v/>
      </c>
      <c r="W242" s="113" t="str">
        <f>IFERROR(IF(AND(INDEX(#REF!,A242)=0,INDEX(salaries_academic[[category]:[1]],MATCH(INDEX(#REF!,A242),salaries_academic[category],0),3)=0),$B$148,""),"")</f>
        <v/>
      </c>
      <c r="X242" s="113" t="e">
        <f>IF(AND(organisation_type="yes",INDEX(#REF!,A242,1)&lt;&gt;"",ISBLANK(INDEX(#REF!,A242,1))),$B$146,"")</f>
        <v>#REF!</v>
      </c>
      <c r="Y242" s="113" t="e">
        <f>IF(AND(organisation_name="yes",INDEX(#REF!,A242,1)&lt;&gt;"",ISBLANK(INDEX(#REF!,A242,1))),$B$147,"")</f>
        <v>#REF!</v>
      </c>
      <c r="Z242" s="113" t="str">
        <f>IFERROR(IF(AND(INDEX(#REF!,A242)&gt;0,INDEX(salaries_academic[[category]:[1]],MATCH(INDEX(#REF!,A242),salaries_academic[category],0),3)&gt;0),$B$149,""),"")</f>
        <v/>
      </c>
    </row>
    <row r="243" spans="1:26" outlineLevel="1" x14ac:dyDescent="0.35">
      <c r="A243" s="113">
        <v>36</v>
      </c>
      <c r="B243" s="113" t="str">
        <f t="array" ref="B243">IFERROR(INDEX(personnel_ac_notes[[#This Row],[Exceeding nr months]:[Costs specified]],1,MATCH(TRUE,LEN(personnel_ac_notes[[#This Row],[Exceeding nr months]:[Costs specified]])&gt;0,0)),"")</f>
        <v/>
      </c>
      <c r="C243" s="113" t="str">
        <f>IFERROR(IF(INDEX(#REF!,A243)&gt;Max_project_duration,$B$128,""),"")</f>
        <v/>
      </c>
      <c r="D243" s="113" t="str">
        <f>IFERROR(IF(AND(LEN(INDEX(#REF!,A243))+LEN(INDEX(#REF!,A243))+LEN(INDEX(#REF!,A243))&gt;0,LEN(INDEX(#REF!,A243-1))+LEN(INDEX(#REF!,A243-1))+LEN(INDEX(#REF!,A243-1))=0),$B$127,""),"")</f>
        <v/>
      </c>
      <c r="E243" s="113" t="str">
        <f>IF(AND(NOT(ISBLANK(INDEX(#REF!,A243))),OR(ISBLANK(INDEX(#REF!,A243)),ISBLANK(INDEX(#REF!,A243)))),VLOOKUP(INDEX(#REF!,A243),salaries_academic[],2,FALSE),"")</f>
        <v/>
      </c>
      <c r="F243" s="113" t="str">
        <f>IFERROR(IF(COUNTIF(INDEX(#REF!,A243),"*- PhD*")&gt;0,IF(INDEX(#REF!,A243)*INDEX(#REF!,A243)&lt;pers_PhD_min_months,$B$129,""),""),"")</f>
        <v/>
      </c>
      <c r="G243" s="113" t="str">
        <f>IFERROR(IF(COUNTIF(INDEX(#REF!,$A243),"*- PhD*")&gt;0,IF(INDEX(#REF!,$A243)*INDEX(#REF!,$A243)&gt;pers_PhD_max_months,$B$130,""),""),"")</f>
        <v/>
      </c>
      <c r="H243" s="113" t="str">
        <f>IFERROR(IF(COUNTIF(INDEX(#REF!,A243),"*year*")&gt;0,IF(INDEX(#REF!,A243)*INDEX(#REF!,A243)&lt;pers_3yPhD_min_months,$B$131,""),""),"")</f>
        <v/>
      </c>
      <c r="I243" s="113" t="str">
        <f>IFERROR(IF(COUNTIF(INDEX(#REF!,A243),"*PDEng*")&gt;0,IF(OR(IFERROR(MATCH("*PhD*",#REF!,0),0)&gt;0,IFERROR(MATCH("*PostDoc*",#REF!,0),0)&gt;0),"",$B$132),""),"")</f>
        <v/>
      </c>
      <c r="J243" s="113" t="str">
        <f>IFERROR(IF(COUNTIF(INDEX(#REF!,A243),"*PDEng*")&gt;0,IF(INDEX(#REF!,A243)*INDEX(#REF!,A243)&gt;pers_PDEng_max_months,$B$133,""),""),"")</f>
        <v/>
      </c>
      <c r="K243" s="113" t="str">
        <f>IFERROR(IF(COUNTIF(INDEX(#REF!,A243),"*PostDoc*")&gt;0,IF(INDEX(#REF!,A243)*INDEX(#REF!,A243)&lt;pers_PD_min_months,$B$134,""),""),"")</f>
        <v/>
      </c>
      <c r="L243" s="113" t="str">
        <f>IFERROR(IF(COUNTIF(INDEX(#REF!,A243),"*PostDoc*")&gt;0,IF(INDEX(#REF!,A243)*INDEX(#REF!,A243)&gt;pers_PD_max_months,$B$135,""),""),"")</f>
        <v/>
      </c>
      <c r="M243" s="113" t="str">
        <f>IFERROR(IF(COUNTIF(INDEX(#REF!,A243),"*Non-scientific*")&gt;0,IF(OR(IFERROR(MATCH("*PhD*",#REF!,0),0)&gt;0,IFERROR(MATCH("*PostDoc*",#REF!,0),0)&gt;0),"",$B$136),""),"")</f>
        <v/>
      </c>
      <c r="N243" s="113" t="str">
        <f>IFERROR(IF(COUNTIF(INDEX(#REF!,A243),"*Non-scientific*")&gt;0,IF(Total_NSP&gt;pers_max_NSP,$B$137,""),""),"")</f>
        <v/>
      </c>
      <c r="O243" s="113" t="str">
        <f>IFERROR(IF(COUNTIF(INDEX(#REF!,A243),"*Non-scientific*")&gt;0,IF(INDEX(#REF!,A243)*INDEX(#REF!,A243)&lt;pers_NSP_min_months,$B$138,""),""),"")</f>
        <v/>
      </c>
      <c r="P243" s="113" t="str">
        <f>IFERROR(IF(COUNTIF(INDEX(#REF!,A243),"*Non-scientific*")&gt;0,IF(INDEX(#REF!,A243)*INDEX(#REF!,A243)&gt;pers_NSP_max_months,$B$139,""),""),"")</f>
        <v/>
      </c>
      <c r="Q243" s="113" t="str">
        <f>IFERROR(IF(COUNTIF(INDEX(#REF!,A243),"*Other scientific*")&gt;0,IF(OR(IFERROR(MATCH("*PhD*",#REF!,0),0)&gt;0,IFERROR(MATCH("*PostDoc*",#REF!,0),0)&gt;0),"",$B$140),""),"")</f>
        <v/>
      </c>
      <c r="R243" s="113" t="str">
        <f>IFERROR(IF(COUNTIF(INDEX(#REF!,A243),"*Other scientific*")&gt;0,IF(Total_OSP&gt;pers_max_OSP,$B$141,""),""),"")</f>
        <v/>
      </c>
      <c r="S243" s="113" t="str">
        <f>IFERROR(IF(COUNTIF(INDEX(#REF!,A243),"*Other scientific*")&gt;0,IF(INDEX(#REF!,A243)*INDEX(#REF!,A243)&lt;pers_OSP_min_months,$B$142,""),""),"")</f>
        <v/>
      </c>
      <c r="T243" s="113" t="str">
        <f>IFERROR(IF(COUNTIF(INDEX(#REF!,A243),"*Other scientific*")&gt;0,IF(INDEX(#REF!,A243)*INDEX(#REF!,A243)&gt;pers_OSP_max_months,$B$143,""),""),"")</f>
        <v/>
      </c>
      <c r="U243" s="113" t="str">
        <f>IFERROR(IF(COUNTIF(INDEX(#REF!,A243),"*leave*")&gt;0,IF(Total_Research_leave&gt;pers_leave_maxperc*Total_NWO_funding,$B$144,""),""),"")</f>
        <v/>
      </c>
      <c r="V243" s="113" t="str">
        <f>IFERROR(IF(COUNTIF(INDEX(#REF!,A243),"*leave*")&gt;0,IF(Research_leave_FTE_months&gt;pers_leave_maxduration,$B$145,""),""),"")</f>
        <v/>
      </c>
      <c r="W243" s="113" t="str">
        <f>IFERROR(IF(AND(INDEX(#REF!,A243)=0,INDEX(salaries_academic[[category]:[1]],MATCH(INDEX(#REF!,A243),salaries_academic[category],0),3)=0),$B$148,""),"")</f>
        <v/>
      </c>
      <c r="X243" s="113" t="e">
        <f>IF(AND(organisation_type="yes",INDEX(#REF!,A243,1)&lt;&gt;"",ISBLANK(INDEX(#REF!,A243,1))),$B$146,"")</f>
        <v>#REF!</v>
      </c>
      <c r="Y243" s="113" t="e">
        <f>IF(AND(organisation_name="yes",INDEX(#REF!,A243,1)&lt;&gt;"",ISBLANK(INDEX(#REF!,A243,1))),$B$147,"")</f>
        <v>#REF!</v>
      </c>
      <c r="Z243" s="113" t="str">
        <f>IFERROR(IF(AND(INDEX(#REF!,A243)&gt;0,INDEX(salaries_academic[[category]:[1]],MATCH(INDEX(#REF!,A243),salaries_academic[category],0),3)&gt;0),$B$149,""),"")</f>
        <v/>
      </c>
    </row>
    <row r="244" spans="1:26" outlineLevel="1" x14ac:dyDescent="0.35">
      <c r="A244" s="113">
        <v>37</v>
      </c>
      <c r="B244" s="113" t="str">
        <f t="array" ref="B244">IFERROR(INDEX(personnel_ac_notes[[#This Row],[Exceeding nr months]:[Costs specified]],1,MATCH(TRUE,LEN(personnel_ac_notes[[#This Row],[Exceeding nr months]:[Costs specified]])&gt;0,0)),"")</f>
        <v/>
      </c>
      <c r="C244" s="113" t="str">
        <f>IFERROR(IF(INDEX(#REF!,A244)&gt;Max_project_duration,$B$128,""),"")</f>
        <v/>
      </c>
      <c r="D244" s="113" t="str">
        <f>IFERROR(IF(AND(LEN(INDEX(#REF!,A244))+LEN(INDEX(#REF!,A244))+LEN(INDEX(#REF!,A244))&gt;0,LEN(INDEX(#REF!,A244-1))+LEN(INDEX(#REF!,A244-1))+LEN(INDEX(#REF!,A244-1))=0),$B$127,""),"")</f>
        <v/>
      </c>
      <c r="E244" s="113" t="str">
        <f>IF(AND(NOT(ISBLANK(INDEX(#REF!,A244))),OR(ISBLANK(INDEX(#REF!,A244)),ISBLANK(INDEX(#REF!,A244)))),VLOOKUP(INDEX(#REF!,A244),salaries_academic[],2,FALSE),"")</f>
        <v/>
      </c>
      <c r="F244" s="113" t="str">
        <f>IFERROR(IF(COUNTIF(INDEX(#REF!,A244),"*- PhD*")&gt;0,IF(INDEX(#REF!,A244)*INDEX(#REF!,A244)&lt;pers_PhD_min_months,$B$129,""),""),"")</f>
        <v/>
      </c>
      <c r="G244" s="113" t="str">
        <f>IFERROR(IF(COUNTIF(INDEX(#REF!,$A244),"*- PhD*")&gt;0,IF(INDEX(#REF!,$A244)*INDEX(#REF!,$A244)&gt;pers_PhD_max_months,$B$130,""),""),"")</f>
        <v/>
      </c>
      <c r="H244" s="113" t="str">
        <f>IFERROR(IF(COUNTIF(INDEX(#REF!,A244),"*year*")&gt;0,IF(INDEX(#REF!,A244)*INDEX(#REF!,A244)&lt;pers_3yPhD_min_months,$B$131,""),""),"")</f>
        <v/>
      </c>
      <c r="I244" s="113" t="str">
        <f>IFERROR(IF(COUNTIF(INDEX(#REF!,A244),"*PDEng*")&gt;0,IF(OR(IFERROR(MATCH("*PhD*",#REF!,0),0)&gt;0,IFERROR(MATCH("*PostDoc*",#REF!,0),0)&gt;0),"",$B$132),""),"")</f>
        <v/>
      </c>
      <c r="J244" s="113" t="str">
        <f>IFERROR(IF(COUNTIF(INDEX(#REF!,A244),"*PDEng*")&gt;0,IF(INDEX(#REF!,A244)*INDEX(#REF!,A244)&gt;pers_PDEng_max_months,$B$133,""),""),"")</f>
        <v/>
      </c>
      <c r="K244" s="113" t="str">
        <f>IFERROR(IF(COUNTIF(INDEX(#REF!,A244),"*PostDoc*")&gt;0,IF(INDEX(#REF!,A244)*INDEX(#REF!,A244)&lt;pers_PD_min_months,$B$134,""),""),"")</f>
        <v/>
      </c>
      <c r="L244" s="113" t="str">
        <f>IFERROR(IF(COUNTIF(INDEX(#REF!,A244),"*PostDoc*")&gt;0,IF(INDEX(#REF!,A244)*INDEX(#REF!,A244)&gt;pers_PD_max_months,$B$135,""),""),"")</f>
        <v/>
      </c>
      <c r="M244" s="113" t="str">
        <f>IFERROR(IF(COUNTIF(INDEX(#REF!,A244),"*Non-scientific*")&gt;0,IF(OR(IFERROR(MATCH("*PhD*",#REF!,0),0)&gt;0,IFERROR(MATCH("*PostDoc*",#REF!,0),0)&gt;0),"",$B$136),""),"")</f>
        <v/>
      </c>
      <c r="N244" s="113" t="str">
        <f>IFERROR(IF(COUNTIF(INDEX(#REF!,A244),"*Non-scientific*")&gt;0,IF(Total_NSP&gt;pers_max_NSP,$B$137,""),""),"")</f>
        <v/>
      </c>
      <c r="O244" s="113" t="str">
        <f>IFERROR(IF(COUNTIF(INDEX(#REF!,A244),"*Non-scientific*")&gt;0,IF(INDEX(#REF!,A244)*INDEX(#REF!,A244)&lt;pers_NSP_min_months,$B$138,""),""),"")</f>
        <v/>
      </c>
      <c r="P244" s="113" t="str">
        <f>IFERROR(IF(COUNTIF(INDEX(#REF!,A244),"*Non-scientific*")&gt;0,IF(INDEX(#REF!,A244)*INDEX(#REF!,A244)&gt;pers_NSP_max_months,$B$139,""),""),"")</f>
        <v/>
      </c>
      <c r="Q244" s="113" t="str">
        <f>IFERROR(IF(COUNTIF(INDEX(#REF!,A244),"*Other scientific*")&gt;0,IF(OR(IFERROR(MATCH("*PhD*",#REF!,0),0)&gt;0,IFERROR(MATCH("*PostDoc*",#REF!,0),0)&gt;0),"",$B$140),""),"")</f>
        <v/>
      </c>
      <c r="R244" s="113" t="str">
        <f>IFERROR(IF(COUNTIF(INDEX(#REF!,A244),"*Other scientific*")&gt;0,IF(Total_OSP&gt;pers_max_OSP,$B$141,""),""),"")</f>
        <v/>
      </c>
      <c r="S244" s="113" t="str">
        <f>IFERROR(IF(COUNTIF(INDEX(#REF!,A244),"*Other scientific*")&gt;0,IF(INDEX(#REF!,A244)*INDEX(#REF!,A244)&lt;pers_OSP_min_months,$B$142,""),""),"")</f>
        <v/>
      </c>
      <c r="T244" s="113" t="str">
        <f>IFERROR(IF(COUNTIF(INDEX(#REF!,A244),"*Other scientific*")&gt;0,IF(INDEX(#REF!,A244)*INDEX(#REF!,A244)&gt;pers_OSP_max_months,$B$143,""),""),"")</f>
        <v/>
      </c>
      <c r="U244" s="113" t="str">
        <f>IFERROR(IF(COUNTIF(INDEX(#REF!,A244),"*leave*")&gt;0,IF(Total_Research_leave&gt;pers_leave_maxperc*Total_NWO_funding,$B$144,""),""),"")</f>
        <v/>
      </c>
      <c r="V244" s="113" t="str">
        <f>IFERROR(IF(COUNTIF(INDEX(#REF!,A244),"*leave*")&gt;0,IF(Research_leave_FTE_months&gt;pers_leave_maxduration,$B$145,""),""),"")</f>
        <v/>
      </c>
      <c r="W244" s="113" t="str">
        <f>IFERROR(IF(AND(INDEX(#REF!,A244)=0,INDEX(salaries_academic[[category]:[1]],MATCH(INDEX(#REF!,A244),salaries_academic[category],0),3)=0),$B$148,""),"")</f>
        <v/>
      </c>
      <c r="X244" s="113" t="e">
        <f>IF(AND(organisation_type="yes",INDEX(#REF!,A244,1)&lt;&gt;"",ISBLANK(INDEX(#REF!,A244,1))),$B$146,"")</f>
        <v>#REF!</v>
      </c>
      <c r="Y244" s="113" t="e">
        <f>IF(AND(organisation_name="yes",INDEX(#REF!,A244,1)&lt;&gt;"",ISBLANK(INDEX(#REF!,A244,1))),$B$147,"")</f>
        <v>#REF!</v>
      </c>
      <c r="Z244" s="113" t="str">
        <f>IFERROR(IF(AND(INDEX(#REF!,A244)&gt;0,INDEX(salaries_academic[[category]:[1]],MATCH(INDEX(#REF!,A244),salaries_academic[category],0),3)&gt;0),$B$149,""),"")</f>
        <v/>
      </c>
    </row>
    <row r="245" spans="1:26" outlineLevel="1" x14ac:dyDescent="0.35">
      <c r="A245" s="113">
        <v>38</v>
      </c>
      <c r="B245" s="113" t="str">
        <f t="array" ref="B245">IFERROR(INDEX(personnel_ac_notes[[#This Row],[Exceeding nr months]:[Costs specified]],1,MATCH(TRUE,LEN(personnel_ac_notes[[#This Row],[Exceeding nr months]:[Costs specified]])&gt;0,0)),"")</f>
        <v/>
      </c>
      <c r="C245" s="113" t="str">
        <f>IFERROR(IF(INDEX(#REF!,A245)&gt;Max_project_duration,$B$128,""),"")</f>
        <v/>
      </c>
      <c r="D245" s="113" t="str">
        <f>IFERROR(IF(AND(LEN(INDEX(#REF!,A245))+LEN(INDEX(#REF!,A245))+LEN(INDEX(#REF!,A245))&gt;0,LEN(INDEX(#REF!,A245-1))+LEN(INDEX(#REF!,A245-1))+LEN(INDEX(#REF!,A245-1))=0),$B$127,""),"")</f>
        <v/>
      </c>
      <c r="E245" s="113" t="str">
        <f>IF(AND(NOT(ISBLANK(INDEX(#REF!,A245))),OR(ISBLANK(INDEX(#REF!,A245)),ISBLANK(INDEX(#REF!,A245)))),VLOOKUP(INDEX(#REF!,A245),salaries_academic[],2,FALSE),"")</f>
        <v/>
      </c>
      <c r="F245" s="113" t="str">
        <f>IFERROR(IF(COUNTIF(INDEX(#REF!,A245),"*- PhD*")&gt;0,IF(INDEX(#REF!,A245)*INDEX(#REF!,A245)&lt;pers_PhD_min_months,$B$129,""),""),"")</f>
        <v/>
      </c>
      <c r="G245" s="113" t="str">
        <f>IFERROR(IF(COUNTIF(INDEX(#REF!,$A245),"*- PhD*")&gt;0,IF(INDEX(#REF!,$A245)*INDEX(#REF!,$A245)&gt;pers_PhD_max_months,$B$130,""),""),"")</f>
        <v/>
      </c>
      <c r="H245" s="113" t="str">
        <f>IFERROR(IF(COUNTIF(INDEX(#REF!,A245),"*year*")&gt;0,IF(INDEX(#REF!,A245)*INDEX(#REF!,A245)&lt;pers_3yPhD_min_months,$B$131,""),""),"")</f>
        <v/>
      </c>
      <c r="I245" s="113" t="str">
        <f>IFERROR(IF(COUNTIF(INDEX(#REF!,A245),"*PDEng*")&gt;0,IF(OR(IFERROR(MATCH("*PhD*",#REF!,0),0)&gt;0,IFERROR(MATCH("*PostDoc*",#REF!,0),0)&gt;0),"",$B$132),""),"")</f>
        <v/>
      </c>
      <c r="J245" s="113" t="str">
        <f>IFERROR(IF(COUNTIF(INDEX(#REF!,A245),"*PDEng*")&gt;0,IF(INDEX(#REF!,A245)*INDEX(#REF!,A245)&gt;pers_PDEng_max_months,$B$133,""),""),"")</f>
        <v/>
      </c>
      <c r="K245" s="113" t="str">
        <f>IFERROR(IF(COUNTIF(INDEX(#REF!,A245),"*PostDoc*")&gt;0,IF(INDEX(#REF!,A245)*INDEX(#REF!,A245)&lt;pers_PD_min_months,$B$134,""),""),"")</f>
        <v/>
      </c>
      <c r="L245" s="113" t="str">
        <f>IFERROR(IF(COUNTIF(INDEX(#REF!,A245),"*PostDoc*")&gt;0,IF(INDEX(#REF!,A245)*INDEX(#REF!,A245)&gt;pers_PD_max_months,$B$135,""),""),"")</f>
        <v/>
      </c>
      <c r="M245" s="113" t="str">
        <f>IFERROR(IF(COUNTIF(INDEX(#REF!,A245),"*Non-scientific*")&gt;0,IF(OR(IFERROR(MATCH("*PhD*",#REF!,0),0)&gt;0,IFERROR(MATCH("*PostDoc*",#REF!,0),0)&gt;0),"",$B$136),""),"")</f>
        <v/>
      </c>
      <c r="N245" s="113" t="str">
        <f>IFERROR(IF(COUNTIF(INDEX(#REF!,A245),"*Non-scientific*")&gt;0,IF(Total_NSP&gt;pers_max_NSP,$B$137,""),""),"")</f>
        <v/>
      </c>
      <c r="O245" s="113" t="str">
        <f>IFERROR(IF(COUNTIF(INDEX(#REF!,A245),"*Non-scientific*")&gt;0,IF(INDEX(#REF!,A245)*INDEX(#REF!,A245)&lt;pers_NSP_min_months,$B$138,""),""),"")</f>
        <v/>
      </c>
      <c r="P245" s="113" t="str">
        <f>IFERROR(IF(COUNTIF(INDEX(#REF!,A245),"*Non-scientific*")&gt;0,IF(INDEX(#REF!,A245)*INDEX(#REF!,A245)&gt;pers_NSP_max_months,$B$139,""),""),"")</f>
        <v/>
      </c>
      <c r="Q245" s="113" t="str">
        <f>IFERROR(IF(COUNTIF(INDEX(#REF!,A245),"*Other scientific*")&gt;0,IF(OR(IFERROR(MATCH("*PhD*",#REF!,0),0)&gt;0,IFERROR(MATCH("*PostDoc*",#REF!,0),0)&gt;0),"",$B$140),""),"")</f>
        <v/>
      </c>
      <c r="R245" s="113" t="str">
        <f>IFERROR(IF(COUNTIF(INDEX(#REF!,A245),"*Other scientific*")&gt;0,IF(Total_OSP&gt;pers_max_OSP,$B$141,""),""),"")</f>
        <v/>
      </c>
      <c r="S245" s="113" t="str">
        <f>IFERROR(IF(COUNTIF(INDEX(#REF!,A245),"*Other scientific*")&gt;0,IF(INDEX(#REF!,A245)*INDEX(#REF!,A245)&lt;pers_OSP_min_months,$B$142,""),""),"")</f>
        <v/>
      </c>
      <c r="T245" s="113" t="str">
        <f>IFERROR(IF(COUNTIF(INDEX(#REF!,A245),"*Other scientific*")&gt;0,IF(INDEX(#REF!,A245)*INDEX(#REF!,A245)&gt;pers_OSP_max_months,$B$143,""),""),"")</f>
        <v/>
      </c>
      <c r="U245" s="113" t="str">
        <f>IFERROR(IF(COUNTIF(INDEX(#REF!,A245),"*leave*")&gt;0,IF(Total_Research_leave&gt;pers_leave_maxperc*Total_NWO_funding,$B$144,""),""),"")</f>
        <v/>
      </c>
      <c r="V245" s="113" t="str">
        <f>IFERROR(IF(COUNTIF(INDEX(#REF!,A245),"*leave*")&gt;0,IF(Research_leave_FTE_months&gt;pers_leave_maxduration,$B$145,""),""),"")</f>
        <v/>
      </c>
      <c r="W245" s="113" t="str">
        <f>IFERROR(IF(AND(INDEX(#REF!,A245)=0,INDEX(salaries_academic[[category]:[1]],MATCH(INDEX(#REF!,A245),salaries_academic[category],0),3)=0),$B$148,""),"")</f>
        <v/>
      </c>
      <c r="X245" s="113" t="e">
        <f>IF(AND(organisation_type="yes",INDEX(#REF!,A245,1)&lt;&gt;"",ISBLANK(INDEX(#REF!,A245,1))),$B$146,"")</f>
        <v>#REF!</v>
      </c>
      <c r="Y245" s="113" t="e">
        <f>IF(AND(organisation_name="yes",INDEX(#REF!,A245,1)&lt;&gt;"",ISBLANK(INDEX(#REF!,A245,1))),$B$147,"")</f>
        <v>#REF!</v>
      </c>
      <c r="Z245" s="113" t="str">
        <f>IFERROR(IF(AND(INDEX(#REF!,A245)&gt;0,INDEX(salaries_academic[[category]:[1]],MATCH(INDEX(#REF!,A245),salaries_academic[category],0),3)&gt;0),$B$149,""),"")</f>
        <v/>
      </c>
    </row>
    <row r="246" spans="1:26" outlineLevel="1" x14ac:dyDescent="0.35">
      <c r="A246" s="113">
        <v>39</v>
      </c>
      <c r="B246" s="113" t="str">
        <f t="array" ref="B246">IFERROR(INDEX(personnel_ac_notes[[#This Row],[Exceeding nr months]:[Costs specified]],1,MATCH(TRUE,LEN(personnel_ac_notes[[#This Row],[Exceeding nr months]:[Costs specified]])&gt;0,0)),"")</f>
        <v/>
      </c>
      <c r="C246" s="113" t="str">
        <f>IFERROR(IF(INDEX(#REF!,A246)&gt;Max_project_duration,$B$128,""),"")</f>
        <v/>
      </c>
      <c r="D246" s="113" t="str">
        <f>IFERROR(IF(AND(LEN(INDEX(#REF!,A246))+LEN(INDEX(#REF!,A246))+LEN(INDEX(#REF!,A246))&gt;0,LEN(INDEX(#REF!,A246-1))+LEN(INDEX(#REF!,A246-1))+LEN(INDEX(#REF!,A246-1))=0),$B$127,""),"")</f>
        <v/>
      </c>
      <c r="E246" s="113" t="str">
        <f>IF(AND(NOT(ISBLANK(INDEX(#REF!,A246))),OR(ISBLANK(INDEX(#REF!,A246)),ISBLANK(INDEX(#REF!,A246)))),VLOOKUP(INDEX(#REF!,A246),salaries_academic[],2,FALSE),"")</f>
        <v/>
      </c>
      <c r="F246" s="113" t="str">
        <f>IFERROR(IF(COUNTIF(INDEX(#REF!,A246),"*- PhD*")&gt;0,IF(INDEX(#REF!,A246)*INDEX(#REF!,A246)&lt;pers_PhD_min_months,$B$129,""),""),"")</f>
        <v/>
      </c>
      <c r="G246" s="113" t="str">
        <f>IFERROR(IF(COUNTIF(INDEX(#REF!,$A246),"*- PhD*")&gt;0,IF(INDEX(#REF!,$A246)*INDEX(#REF!,$A246)&gt;pers_PhD_max_months,$B$130,""),""),"")</f>
        <v/>
      </c>
      <c r="H246" s="113" t="str">
        <f>IFERROR(IF(COUNTIF(INDEX(#REF!,A246),"*year*")&gt;0,IF(INDEX(#REF!,A246)*INDEX(#REF!,A246)&lt;pers_3yPhD_min_months,$B$131,""),""),"")</f>
        <v/>
      </c>
      <c r="I246" s="113" t="str">
        <f>IFERROR(IF(COUNTIF(INDEX(#REF!,A246),"*PDEng*")&gt;0,IF(OR(IFERROR(MATCH("*PhD*",#REF!,0),0)&gt;0,IFERROR(MATCH("*PostDoc*",#REF!,0),0)&gt;0),"",$B$132),""),"")</f>
        <v/>
      </c>
      <c r="J246" s="113" t="str">
        <f>IFERROR(IF(COUNTIF(INDEX(#REF!,A246),"*PDEng*")&gt;0,IF(INDEX(#REF!,A246)*INDEX(#REF!,A246)&gt;pers_PDEng_max_months,$B$133,""),""),"")</f>
        <v/>
      </c>
      <c r="K246" s="113" t="str">
        <f>IFERROR(IF(COUNTIF(INDEX(#REF!,A246),"*PostDoc*")&gt;0,IF(INDEX(#REF!,A246)*INDEX(#REF!,A246)&lt;pers_PD_min_months,$B$134,""),""),"")</f>
        <v/>
      </c>
      <c r="L246" s="113" t="str">
        <f>IFERROR(IF(COUNTIF(INDEX(#REF!,A246),"*PostDoc*")&gt;0,IF(INDEX(#REF!,A246)*INDEX(#REF!,A246)&gt;pers_PD_max_months,$B$135,""),""),"")</f>
        <v/>
      </c>
      <c r="M246" s="113" t="str">
        <f>IFERROR(IF(COUNTIF(INDEX(#REF!,A246),"*Non-scientific*")&gt;0,IF(OR(IFERROR(MATCH("*PhD*",#REF!,0),0)&gt;0,IFERROR(MATCH("*PostDoc*",#REF!,0),0)&gt;0),"",$B$136),""),"")</f>
        <v/>
      </c>
      <c r="N246" s="113" t="str">
        <f>IFERROR(IF(COUNTIF(INDEX(#REF!,A246),"*Non-scientific*")&gt;0,IF(Total_NSP&gt;pers_max_NSP,$B$137,""),""),"")</f>
        <v/>
      </c>
      <c r="O246" s="113" t="str">
        <f>IFERROR(IF(COUNTIF(INDEX(#REF!,A246),"*Non-scientific*")&gt;0,IF(INDEX(#REF!,A246)*INDEX(#REF!,A246)&lt;pers_NSP_min_months,$B$138,""),""),"")</f>
        <v/>
      </c>
      <c r="P246" s="113" t="str">
        <f>IFERROR(IF(COUNTIF(INDEX(#REF!,A246),"*Non-scientific*")&gt;0,IF(INDEX(#REF!,A246)*INDEX(#REF!,A246)&gt;pers_NSP_max_months,$B$139,""),""),"")</f>
        <v/>
      </c>
      <c r="Q246" s="113" t="str">
        <f>IFERROR(IF(COUNTIF(INDEX(#REF!,A246),"*Other scientific*")&gt;0,IF(OR(IFERROR(MATCH("*PhD*",#REF!,0),0)&gt;0,IFERROR(MATCH("*PostDoc*",#REF!,0),0)&gt;0),"",$B$140),""),"")</f>
        <v/>
      </c>
      <c r="R246" s="113" t="str">
        <f>IFERROR(IF(COUNTIF(INDEX(#REF!,A246),"*Other scientific*")&gt;0,IF(Total_OSP&gt;pers_max_OSP,$B$141,""),""),"")</f>
        <v/>
      </c>
      <c r="S246" s="113" t="str">
        <f>IFERROR(IF(COUNTIF(INDEX(#REF!,A246),"*Other scientific*")&gt;0,IF(INDEX(#REF!,A246)*INDEX(#REF!,A246)&lt;pers_OSP_min_months,$B$142,""),""),"")</f>
        <v/>
      </c>
      <c r="T246" s="113" t="str">
        <f>IFERROR(IF(COUNTIF(INDEX(#REF!,A246),"*Other scientific*")&gt;0,IF(INDEX(#REF!,A246)*INDEX(#REF!,A246)&gt;pers_OSP_max_months,$B$143,""),""),"")</f>
        <v/>
      </c>
      <c r="U246" s="113" t="str">
        <f>IFERROR(IF(COUNTIF(INDEX(#REF!,A246),"*leave*")&gt;0,IF(Total_Research_leave&gt;pers_leave_maxperc*Total_NWO_funding,$B$144,""),""),"")</f>
        <v/>
      </c>
      <c r="V246" s="113" t="str">
        <f>IFERROR(IF(COUNTIF(INDEX(#REF!,A246),"*leave*")&gt;0,IF(Research_leave_FTE_months&gt;pers_leave_maxduration,$B$145,""),""),"")</f>
        <v/>
      </c>
      <c r="W246" s="113" t="str">
        <f>IFERROR(IF(AND(INDEX(#REF!,A246)=0,INDEX(salaries_academic[[category]:[1]],MATCH(INDEX(#REF!,A246),salaries_academic[category],0),3)=0),$B$148,""),"")</f>
        <v/>
      </c>
      <c r="X246" s="113" t="e">
        <f>IF(AND(organisation_type="yes",INDEX(#REF!,A246,1)&lt;&gt;"",ISBLANK(INDEX(#REF!,A246,1))),$B$146,"")</f>
        <v>#REF!</v>
      </c>
      <c r="Y246" s="113" t="e">
        <f>IF(AND(organisation_name="yes",INDEX(#REF!,A246,1)&lt;&gt;"",ISBLANK(INDEX(#REF!,A246,1))),$B$147,"")</f>
        <v>#REF!</v>
      </c>
      <c r="Z246" s="113" t="str">
        <f>IFERROR(IF(AND(INDEX(#REF!,A246)&gt;0,INDEX(salaries_academic[[category]:[1]],MATCH(INDEX(#REF!,A246),salaries_academic[category],0),3)&gt;0),$B$149,""),"")</f>
        <v/>
      </c>
    </row>
    <row r="247" spans="1:26" outlineLevel="1" x14ac:dyDescent="0.35">
      <c r="A247" s="113">
        <v>40</v>
      </c>
      <c r="B247" s="113" t="str">
        <f t="array" ref="B247">IFERROR(INDEX(personnel_ac_notes[[#This Row],[Exceeding nr months]:[Costs specified]],1,MATCH(TRUE,LEN(personnel_ac_notes[[#This Row],[Exceeding nr months]:[Costs specified]])&gt;0,0)),"")</f>
        <v/>
      </c>
      <c r="C247" s="113" t="str">
        <f>IFERROR(IF(INDEX(#REF!,A247)&gt;Max_project_duration,$B$128,""),"")</f>
        <v/>
      </c>
      <c r="D247" s="113" t="str">
        <f>IFERROR(IF(AND(LEN(INDEX(#REF!,A247))+LEN(INDEX(#REF!,A247))+LEN(INDEX(#REF!,A247))&gt;0,LEN(INDEX(#REF!,A247-1))+LEN(INDEX(#REF!,A247-1))+LEN(INDEX(#REF!,A247-1))=0),$B$127,""),"")</f>
        <v/>
      </c>
      <c r="E247" s="113" t="str">
        <f>IF(AND(NOT(ISBLANK(INDEX(#REF!,A247))),OR(ISBLANK(INDEX(#REF!,A247)),ISBLANK(INDEX(#REF!,A247)))),VLOOKUP(INDEX(#REF!,A247),salaries_academic[],2,FALSE),"")</f>
        <v/>
      </c>
      <c r="F247" s="113" t="str">
        <f>IFERROR(IF(COUNTIF(INDEX(#REF!,A247),"*- PhD*")&gt;0,IF(INDEX(#REF!,A247)*INDEX(#REF!,A247)&lt;pers_PhD_min_months,$B$129,""),""),"")</f>
        <v/>
      </c>
      <c r="G247" s="113" t="str">
        <f>IFERROR(IF(COUNTIF(INDEX(#REF!,$A247),"*- PhD*")&gt;0,IF(INDEX(#REF!,$A247)*INDEX(#REF!,$A247)&gt;pers_PhD_max_months,$B$130,""),""),"")</f>
        <v/>
      </c>
      <c r="H247" s="113" t="str">
        <f>IFERROR(IF(COUNTIF(INDEX(#REF!,A247),"*year*")&gt;0,IF(INDEX(#REF!,A247)*INDEX(#REF!,A247)&lt;pers_3yPhD_min_months,$B$131,""),""),"")</f>
        <v/>
      </c>
      <c r="I247" s="113" t="str">
        <f>IFERROR(IF(COUNTIF(INDEX(#REF!,A247),"*PDEng*")&gt;0,IF(OR(IFERROR(MATCH("*PhD*",#REF!,0),0)&gt;0,IFERROR(MATCH("*PostDoc*",#REF!,0),0)&gt;0),"",$B$132),""),"")</f>
        <v/>
      </c>
      <c r="J247" s="113" t="str">
        <f>IFERROR(IF(COUNTIF(INDEX(#REF!,A247),"*PDEng*")&gt;0,IF(INDEX(#REF!,A247)*INDEX(#REF!,A247)&gt;pers_PDEng_max_months,$B$133,""),""),"")</f>
        <v/>
      </c>
      <c r="K247" s="113" t="str">
        <f>IFERROR(IF(COUNTIF(INDEX(#REF!,A247),"*PostDoc*")&gt;0,IF(INDEX(#REF!,A247)*INDEX(#REF!,A247)&lt;pers_PD_min_months,$B$134,""),""),"")</f>
        <v/>
      </c>
      <c r="L247" s="113" t="str">
        <f>IFERROR(IF(COUNTIF(INDEX(#REF!,A247),"*PostDoc*")&gt;0,IF(INDEX(#REF!,A247)*INDEX(#REF!,A247)&gt;pers_PD_max_months,$B$135,""),""),"")</f>
        <v/>
      </c>
      <c r="M247" s="113" t="str">
        <f>IFERROR(IF(COUNTIF(INDEX(#REF!,A247),"*Non-scientific*")&gt;0,IF(OR(IFERROR(MATCH("*PhD*",#REF!,0),0)&gt;0,IFERROR(MATCH("*PostDoc*",#REF!,0),0)&gt;0),"",$B$136),""),"")</f>
        <v/>
      </c>
      <c r="N247" s="113" t="str">
        <f>IFERROR(IF(COUNTIF(INDEX(#REF!,A247),"*Non-scientific*")&gt;0,IF(Total_NSP&gt;pers_max_NSP,$B$137,""),""),"")</f>
        <v/>
      </c>
      <c r="O247" s="113" t="str">
        <f>IFERROR(IF(COUNTIF(INDEX(#REF!,A247),"*Non-scientific*")&gt;0,IF(INDEX(#REF!,A247)*INDEX(#REF!,A247)&lt;pers_NSP_min_months,$B$138,""),""),"")</f>
        <v/>
      </c>
      <c r="P247" s="113" t="str">
        <f>IFERROR(IF(COUNTIF(INDEX(#REF!,A247),"*Non-scientific*")&gt;0,IF(INDEX(#REF!,A247)*INDEX(#REF!,A247)&gt;pers_NSP_max_months,$B$139,""),""),"")</f>
        <v/>
      </c>
      <c r="Q247" s="113" t="str">
        <f>IFERROR(IF(COUNTIF(INDEX(#REF!,A247),"*Other scientific*")&gt;0,IF(OR(IFERROR(MATCH("*PhD*",#REF!,0),0)&gt;0,IFERROR(MATCH("*PostDoc*",#REF!,0),0)&gt;0),"",$B$140),""),"")</f>
        <v/>
      </c>
      <c r="R247" s="113" t="str">
        <f>IFERROR(IF(COUNTIF(INDEX(#REF!,A247),"*Other scientific*")&gt;0,IF(Total_OSP&gt;pers_max_OSP,$B$141,""),""),"")</f>
        <v/>
      </c>
      <c r="S247" s="113" t="str">
        <f>IFERROR(IF(COUNTIF(INDEX(#REF!,A247),"*Other scientific*")&gt;0,IF(INDEX(#REF!,A247)*INDEX(#REF!,A247)&lt;pers_OSP_min_months,$B$142,""),""),"")</f>
        <v/>
      </c>
      <c r="T247" s="113" t="str">
        <f>IFERROR(IF(COUNTIF(INDEX(#REF!,A247),"*Other scientific*")&gt;0,IF(INDEX(#REF!,A247)*INDEX(#REF!,A247)&gt;pers_OSP_max_months,$B$143,""),""),"")</f>
        <v/>
      </c>
      <c r="U247" s="113" t="str">
        <f>IFERROR(IF(COUNTIF(INDEX(#REF!,A247),"*leave*")&gt;0,IF(Total_Research_leave&gt;pers_leave_maxperc*Total_NWO_funding,$B$144,""),""),"")</f>
        <v/>
      </c>
      <c r="V247" s="113" t="str">
        <f>IFERROR(IF(COUNTIF(INDEX(#REF!,A247),"*leave*")&gt;0,IF(Research_leave_FTE_months&gt;pers_leave_maxduration,$B$145,""),""),"")</f>
        <v/>
      </c>
      <c r="W247" s="113" t="str">
        <f>IFERROR(IF(AND(INDEX(#REF!,A247)=0,INDEX(salaries_academic[[category]:[1]],MATCH(INDEX(#REF!,A247),salaries_academic[category],0),3)=0),$B$148,""),"")</f>
        <v/>
      </c>
      <c r="X247" s="113" t="e">
        <f>IF(AND(organisation_type="yes",INDEX(#REF!,A247,1)&lt;&gt;"",ISBLANK(INDEX(#REF!,A247,1))),$B$146,"")</f>
        <v>#REF!</v>
      </c>
      <c r="Y247" s="113" t="e">
        <f>IF(AND(organisation_name="yes",INDEX(#REF!,A247,1)&lt;&gt;"",ISBLANK(INDEX(#REF!,A247,1))),$B$147,"")</f>
        <v>#REF!</v>
      </c>
      <c r="Z247" s="113" t="str">
        <f>IFERROR(IF(AND(INDEX(#REF!,A247)&gt;0,INDEX(salaries_academic[[category]:[1]],MATCH(INDEX(#REF!,A247),salaries_academic[category],0),3)&gt;0),$B$149,""),"")</f>
        <v/>
      </c>
    </row>
    <row r="248" spans="1:26" outlineLevel="1" x14ac:dyDescent="0.35">
      <c r="A248" s="113">
        <v>41</v>
      </c>
      <c r="B248" s="113" t="str">
        <f t="array" ref="B248">IFERROR(INDEX(personnel_ac_notes[[#This Row],[Exceeding nr months]:[Costs specified]],1,MATCH(TRUE,LEN(personnel_ac_notes[[#This Row],[Exceeding nr months]:[Costs specified]])&gt;0,0)),"")</f>
        <v/>
      </c>
      <c r="C248" s="113" t="str">
        <f>IFERROR(IF(INDEX(#REF!,A248)&gt;Max_project_duration,$B$128,""),"")</f>
        <v/>
      </c>
      <c r="D248" s="113" t="str">
        <f>IFERROR(IF(AND(LEN(INDEX(#REF!,A248))+LEN(INDEX(#REF!,A248))+LEN(INDEX(#REF!,A248))&gt;0,LEN(INDEX(#REF!,A248-1))+LEN(INDEX(#REF!,A248-1))+LEN(INDEX(#REF!,A248-1))=0),$B$127,""),"")</f>
        <v/>
      </c>
      <c r="E248" s="113" t="str">
        <f>IF(AND(NOT(ISBLANK(INDEX(#REF!,A248))),OR(ISBLANK(INDEX(#REF!,A248)),ISBLANK(INDEX(#REF!,A248)))),VLOOKUP(INDEX(#REF!,A248),salaries_academic[],2,FALSE),"")</f>
        <v/>
      </c>
      <c r="F248" s="113" t="str">
        <f>IFERROR(IF(COUNTIF(INDEX(#REF!,A248),"*- PhD*")&gt;0,IF(INDEX(#REF!,A248)*INDEX(#REF!,A248)&lt;pers_PhD_min_months,$B$129,""),""),"")</f>
        <v/>
      </c>
      <c r="G248" s="113" t="str">
        <f>IFERROR(IF(COUNTIF(INDEX(#REF!,$A248),"*- PhD*")&gt;0,IF(INDEX(#REF!,$A248)*INDEX(#REF!,$A248)&gt;pers_PhD_max_months,$B$130,""),""),"")</f>
        <v/>
      </c>
      <c r="H248" s="113" t="str">
        <f>IFERROR(IF(COUNTIF(INDEX(#REF!,A248),"*year*")&gt;0,IF(INDEX(#REF!,A248)*INDEX(#REF!,A248)&lt;pers_3yPhD_min_months,$B$131,""),""),"")</f>
        <v/>
      </c>
      <c r="I248" s="113" t="str">
        <f>IFERROR(IF(COUNTIF(INDEX(#REF!,A248),"*PDEng*")&gt;0,IF(OR(IFERROR(MATCH("*PhD*",#REF!,0),0)&gt;0,IFERROR(MATCH("*PostDoc*",#REF!,0),0)&gt;0),"",$B$132),""),"")</f>
        <v/>
      </c>
      <c r="J248" s="113" t="str">
        <f>IFERROR(IF(COUNTIF(INDEX(#REF!,A248),"*PDEng*")&gt;0,IF(INDEX(#REF!,A248)*INDEX(#REF!,A248)&gt;pers_PDEng_max_months,$B$133,""),""),"")</f>
        <v/>
      </c>
      <c r="K248" s="113" t="str">
        <f>IFERROR(IF(COUNTIF(INDEX(#REF!,A248),"*PostDoc*")&gt;0,IF(INDEX(#REF!,A248)*INDEX(#REF!,A248)&lt;pers_PD_min_months,$B$134,""),""),"")</f>
        <v/>
      </c>
      <c r="L248" s="113" t="str">
        <f>IFERROR(IF(COUNTIF(INDEX(#REF!,A248),"*PostDoc*")&gt;0,IF(INDEX(#REF!,A248)*INDEX(#REF!,A248)&gt;pers_PD_max_months,$B$135,""),""),"")</f>
        <v/>
      </c>
      <c r="M248" s="113" t="str">
        <f>IFERROR(IF(COUNTIF(INDEX(#REF!,A248),"*Non-scientific*")&gt;0,IF(OR(IFERROR(MATCH("*PhD*",#REF!,0),0)&gt;0,IFERROR(MATCH("*PostDoc*",#REF!,0),0)&gt;0),"",$B$136),""),"")</f>
        <v/>
      </c>
      <c r="N248" s="113" t="str">
        <f>IFERROR(IF(COUNTIF(INDEX(#REF!,A248),"*Non-scientific*")&gt;0,IF(Total_NSP&gt;pers_max_NSP,$B$137,""),""),"")</f>
        <v/>
      </c>
      <c r="O248" s="113" t="str">
        <f>IFERROR(IF(COUNTIF(INDEX(#REF!,A248),"*Non-scientific*")&gt;0,IF(INDEX(#REF!,A248)*INDEX(#REF!,A248)&lt;pers_NSP_min_months,$B$138,""),""),"")</f>
        <v/>
      </c>
      <c r="P248" s="113" t="str">
        <f>IFERROR(IF(COUNTIF(INDEX(#REF!,A248),"*Non-scientific*")&gt;0,IF(INDEX(#REF!,A248)*INDEX(#REF!,A248)&gt;pers_NSP_max_months,$B$139,""),""),"")</f>
        <v/>
      </c>
      <c r="Q248" s="113" t="str">
        <f>IFERROR(IF(COUNTIF(INDEX(#REF!,A248),"*Other scientific*")&gt;0,IF(OR(IFERROR(MATCH("*PhD*",#REF!,0),0)&gt;0,IFERROR(MATCH("*PostDoc*",#REF!,0),0)&gt;0),"",$B$140),""),"")</f>
        <v/>
      </c>
      <c r="R248" s="113" t="str">
        <f>IFERROR(IF(COUNTIF(INDEX(#REF!,A248),"*Other scientific*")&gt;0,IF(Total_OSP&gt;pers_max_OSP,$B$141,""),""),"")</f>
        <v/>
      </c>
      <c r="S248" s="113" t="str">
        <f>IFERROR(IF(COUNTIF(INDEX(#REF!,A248),"*Other scientific*")&gt;0,IF(INDEX(#REF!,A248)*INDEX(#REF!,A248)&lt;pers_OSP_min_months,$B$142,""),""),"")</f>
        <v/>
      </c>
      <c r="T248" s="113" t="str">
        <f>IFERROR(IF(COUNTIF(INDEX(#REF!,A248),"*Other scientific*")&gt;0,IF(INDEX(#REF!,A248)*INDEX(#REF!,A248)&gt;pers_OSP_max_months,$B$143,""),""),"")</f>
        <v/>
      </c>
      <c r="U248" s="113" t="str">
        <f>IFERROR(IF(COUNTIF(INDEX(#REF!,A248),"*leave*")&gt;0,IF(Total_Research_leave&gt;pers_leave_maxperc*Total_NWO_funding,$B$144,""),""),"")</f>
        <v/>
      </c>
      <c r="V248" s="113" t="str">
        <f>IFERROR(IF(COUNTIF(INDEX(#REF!,A248),"*leave*")&gt;0,IF(Research_leave_FTE_months&gt;pers_leave_maxduration,$B$145,""),""),"")</f>
        <v/>
      </c>
      <c r="W248" s="113" t="str">
        <f>IFERROR(IF(AND(INDEX(#REF!,A248)=0,INDEX(salaries_academic[[category]:[1]],MATCH(INDEX(#REF!,A248),salaries_academic[category],0),3)=0),$B$148,""),"")</f>
        <v/>
      </c>
      <c r="X248" s="113" t="e">
        <f>IF(AND(organisation_type="yes",INDEX(#REF!,A248,1)&lt;&gt;"",ISBLANK(INDEX(#REF!,A248,1))),$B$146,"")</f>
        <v>#REF!</v>
      </c>
      <c r="Y248" s="113" t="e">
        <f>IF(AND(organisation_name="yes",INDEX(#REF!,A248,1)&lt;&gt;"",ISBLANK(INDEX(#REF!,A248,1))),$B$147,"")</f>
        <v>#REF!</v>
      </c>
      <c r="Z248" s="113" t="str">
        <f>IFERROR(IF(AND(INDEX(#REF!,A248)&gt;0,INDEX(salaries_academic[[category]:[1]],MATCH(INDEX(#REF!,A248),salaries_academic[category],0),3)&gt;0),$B$149,""),"")</f>
        <v/>
      </c>
    </row>
    <row r="249" spans="1:26" outlineLevel="1" x14ac:dyDescent="0.35">
      <c r="A249" s="113">
        <v>42</v>
      </c>
      <c r="B249" s="113" t="str">
        <f t="array" ref="B249">IFERROR(INDEX(personnel_ac_notes[[#This Row],[Exceeding nr months]:[Costs specified]],1,MATCH(TRUE,LEN(personnel_ac_notes[[#This Row],[Exceeding nr months]:[Costs specified]])&gt;0,0)),"")</f>
        <v/>
      </c>
      <c r="C249" s="113" t="str">
        <f>IFERROR(IF(INDEX(#REF!,A249)&gt;Max_project_duration,$B$128,""),"")</f>
        <v/>
      </c>
      <c r="D249" s="113" t="str">
        <f>IFERROR(IF(AND(LEN(INDEX(#REF!,A249))+LEN(INDEX(#REF!,A249))+LEN(INDEX(#REF!,A249))&gt;0,LEN(INDEX(#REF!,A249-1))+LEN(INDEX(#REF!,A249-1))+LEN(INDEX(#REF!,A249-1))=0),$B$127,""),"")</f>
        <v/>
      </c>
      <c r="E249" s="113" t="str">
        <f>IF(AND(NOT(ISBLANK(INDEX(#REF!,A249))),OR(ISBLANK(INDEX(#REF!,A249)),ISBLANK(INDEX(#REF!,A249)))),VLOOKUP(INDEX(#REF!,A249),salaries_academic[],2,FALSE),"")</f>
        <v/>
      </c>
      <c r="F249" s="113" t="str">
        <f>IFERROR(IF(COUNTIF(INDEX(#REF!,A249),"*- PhD*")&gt;0,IF(INDEX(#REF!,A249)*INDEX(#REF!,A249)&lt;pers_PhD_min_months,$B$129,""),""),"")</f>
        <v/>
      </c>
      <c r="G249" s="113" t="str">
        <f>IFERROR(IF(COUNTIF(INDEX(#REF!,$A249),"*- PhD*")&gt;0,IF(INDEX(#REF!,$A249)*INDEX(#REF!,$A249)&gt;pers_PhD_max_months,$B$130,""),""),"")</f>
        <v/>
      </c>
      <c r="H249" s="113" t="str">
        <f>IFERROR(IF(COUNTIF(INDEX(#REF!,A249),"*year*")&gt;0,IF(INDEX(#REF!,A249)*INDEX(#REF!,A249)&lt;pers_3yPhD_min_months,$B$131,""),""),"")</f>
        <v/>
      </c>
      <c r="I249" s="113" t="str">
        <f>IFERROR(IF(COUNTIF(INDEX(#REF!,A249),"*PDEng*")&gt;0,IF(OR(IFERROR(MATCH("*PhD*",#REF!,0),0)&gt;0,IFERROR(MATCH("*PostDoc*",#REF!,0),0)&gt;0),"",$B$132),""),"")</f>
        <v/>
      </c>
      <c r="J249" s="113" t="str">
        <f>IFERROR(IF(COUNTIF(INDEX(#REF!,A249),"*PDEng*")&gt;0,IF(INDEX(#REF!,A249)*INDEX(#REF!,A249)&gt;pers_PDEng_max_months,$B$133,""),""),"")</f>
        <v/>
      </c>
      <c r="K249" s="113" t="str">
        <f>IFERROR(IF(COUNTIF(INDEX(#REF!,A249),"*PostDoc*")&gt;0,IF(INDEX(#REF!,A249)*INDEX(#REF!,A249)&lt;pers_PD_min_months,$B$134,""),""),"")</f>
        <v/>
      </c>
      <c r="L249" s="113" t="str">
        <f>IFERROR(IF(COUNTIF(INDEX(#REF!,A249),"*PostDoc*")&gt;0,IF(INDEX(#REF!,A249)*INDEX(#REF!,A249)&gt;pers_PD_max_months,$B$135,""),""),"")</f>
        <v/>
      </c>
      <c r="M249" s="113" t="str">
        <f>IFERROR(IF(COUNTIF(INDEX(#REF!,A249),"*Non-scientific*")&gt;0,IF(OR(IFERROR(MATCH("*PhD*",#REF!,0),0)&gt;0,IFERROR(MATCH("*PostDoc*",#REF!,0),0)&gt;0),"",$B$136),""),"")</f>
        <v/>
      </c>
      <c r="N249" s="113" t="str">
        <f>IFERROR(IF(COUNTIF(INDEX(#REF!,A249),"*Non-scientific*")&gt;0,IF(Total_NSP&gt;pers_max_NSP,$B$137,""),""),"")</f>
        <v/>
      </c>
      <c r="O249" s="113" t="str">
        <f>IFERROR(IF(COUNTIF(INDEX(#REF!,A249),"*Non-scientific*")&gt;0,IF(INDEX(#REF!,A249)*INDEX(#REF!,A249)&lt;pers_NSP_min_months,$B$138,""),""),"")</f>
        <v/>
      </c>
      <c r="P249" s="113" t="str">
        <f>IFERROR(IF(COUNTIF(INDEX(#REF!,A249),"*Non-scientific*")&gt;0,IF(INDEX(#REF!,A249)*INDEX(#REF!,A249)&gt;pers_NSP_max_months,$B$139,""),""),"")</f>
        <v/>
      </c>
      <c r="Q249" s="113" t="str">
        <f>IFERROR(IF(COUNTIF(INDEX(#REF!,A249),"*Other scientific*")&gt;0,IF(OR(IFERROR(MATCH("*PhD*",#REF!,0),0)&gt;0,IFERROR(MATCH("*PostDoc*",#REF!,0),0)&gt;0),"",$B$140),""),"")</f>
        <v/>
      </c>
      <c r="R249" s="113" t="str">
        <f>IFERROR(IF(COUNTIF(INDEX(#REF!,A249),"*Other scientific*")&gt;0,IF(Total_OSP&gt;pers_max_OSP,$B$141,""),""),"")</f>
        <v/>
      </c>
      <c r="S249" s="113" t="str">
        <f>IFERROR(IF(COUNTIF(INDEX(#REF!,A249),"*Other scientific*")&gt;0,IF(INDEX(#REF!,A249)*INDEX(#REF!,A249)&lt;pers_OSP_min_months,$B$142,""),""),"")</f>
        <v/>
      </c>
      <c r="T249" s="113" t="str">
        <f>IFERROR(IF(COUNTIF(INDEX(#REF!,A249),"*Other scientific*")&gt;0,IF(INDEX(#REF!,A249)*INDEX(#REF!,A249)&gt;pers_OSP_max_months,$B$143,""),""),"")</f>
        <v/>
      </c>
      <c r="U249" s="113" t="str">
        <f>IFERROR(IF(COUNTIF(INDEX(#REF!,A249),"*leave*")&gt;0,IF(Total_Research_leave&gt;pers_leave_maxperc*Total_NWO_funding,$B$144,""),""),"")</f>
        <v/>
      </c>
      <c r="V249" s="113" t="str">
        <f>IFERROR(IF(COUNTIF(INDEX(#REF!,A249),"*leave*")&gt;0,IF(Research_leave_FTE_months&gt;pers_leave_maxduration,$B$145,""),""),"")</f>
        <v/>
      </c>
      <c r="W249" s="113" t="str">
        <f>IFERROR(IF(AND(INDEX(#REF!,A249)=0,INDEX(salaries_academic[[category]:[1]],MATCH(INDEX(#REF!,A249),salaries_academic[category],0),3)=0),$B$148,""),"")</f>
        <v/>
      </c>
      <c r="X249" s="113" t="e">
        <f>IF(AND(organisation_type="yes",INDEX(#REF!,A249,1)&lt;&gt;"",ISBLANK(INDEX(#REF!,A249,1))),$B$146,"")</f>
        <v>#REF!</v>
      </c>
      <c r="Y249" s="113" t="e">
        <f>IF(AND(organisation_name="yes",INDEX(#REF!,A249,1)&lt;&gt;"",ISBLANK(INDEX(#REF!,A249,1))),$B$147,"")</f>
        <v>#REF!</v>
      </c>
      <c r="Z249" s="113" t="str">
        <f>IFERROR(IF(AND(INDEX(#REF!,A249)&gt;0,INDEX(salaries_academic[[category]:[1]],MATCH(INDEX(#REF!,A249),salaries_academic[category],0),3)&gt;0),$B$149,""),"")</f>
        <v/>
      </c>
    </row>
    <row r="250" spans="1:26" outlineLevel="1" x14ac:dyDescent="0.35">
      <c r="A250" s="113">
        <v>43</v>
      </c>
      <c r="B250" s="113" t="str">
        <f t="array" ref="B250">IFERROR(INDEX(personnel_ac_notes[[#This Row],[Exceeding nr months]:[Costs specified]],1,MATCH(TRUE,LEN(personnel_ac_notes[[#This Row],[Exceeding nr months]:[Costs specified]])&gt;0,0)),"")</f>
        <v/>
      </c>
      <c r="C250" s="113" t="str">
        <f>IFERROR(IF(INDEX(#REF!,A250)&gt;Max_project_duration,$B$128,""),"")</f>
        <v/>
      </c>
      <c r="D250" s="113" t="str">
        <f>IFERROR(IF(AND(LEN(INDEX(#REF!,A250))+LEN(INDEX(#REF!,A250))+LEN(INDEX(#REF!,A250))&gt;0,LEN(INDEX(#REF!,A250-1))+LEN(INDEX(#REF!,A250-1))+LEN(INDEX(#REF!,A250-1))=0),$B$127,""),"")</f>
        <v/>
      </c>
      <c r="E250" s="113" t="str">
        <f>IF(AND(NOT(ISBLANK(INDEX(#REF!,A250))),OR(ISBLANK(INDEX(#REF!,A250)),ISBLANK(INDEX(#REF!,A250)))),VLOOKUP(INDEX(#REF!,A250),salaries_academic[],2,FALSE),"")</f>
        <v/>
      </c>
      <c r="F250" s="113" t="str">
        <f>IFERROR(IF(COUNTIF(INDEX(#REF!,A250),"*- PhD*")&gt;0,IF(INDEX(#REF!,A250)*INDEX(#REF!,A250)&lt;pers_PhD_min_months,$B$129,""),""),"")</f>
        <v/>
      </c>
      <c r="G250" s="113" t="str">
        <f>IFERROR(IF(COUNTIF(INDEX(#REF!,$A250),"*- PhD*")&gt;0,IF(INDEX(#REF!,$A250)*INDEX(#REF!,$A250)&gt;pers_PhD_max_months,$B$130,""),""),"")</f>
        <v/>
      </c>
      <c r="H250" s="113" t="str">
        <f>IFERROR(IF(COUNTIF(INDEX(#REF!,A250),"*year*")&gt;0,IF(INDEX(#REF!,A250)*INDEX(#REF!,A250)&lt;pers_3yPhD_min_months,$B$131,""),""),"")</f>
        <v/>
      </c>
      <c r="I250" s="113" t="str">
        <f>IFERROR(IF(COUNTIF(INDEX(#REF!,A250),"*PDEng*")&gt;0,IF(OR(IFERROR(MATCH("*PhD*",#REF!,0),0)&gt;0,IFERROR(MATCH("*PostDoc*",#REF!,0),0)&gt;0),"",$B$132),""),"")</f>
        <v/>
      </c>
      <c r="J250" s="113" t="str">
        <f>IFERROR(IF(COUNTIF(INDEX(#REF!,A250),"*PDEng*")&gt;0,IF(INDEX(#REF!,A250)*INDEX(#REF!,A250)&gt;pers_PDEng_max_months,$B$133,""),""),"")</f>
        <v/>
      </c>
      <c r="K250" s="113" t="str">
        <f>IFERROR(IF(COUNTIF(INDEX(#REF!,A250),"*PostDoc*")&gt;0,IF(INDEX(#REF!,A250)*INDEX(#REF!,A250)&lt;pers_PD_min_months,$B$134,""),""),"")</f>
        <v/>
      </c>
      <c r="L250" s="113" t="str">
        <f>IFERROR(IF(COUNTIF(INDEX(#REF!,A250),"*PostDoc*")&gt;0,IF(INDEX(#REF!,A250)*INDEX(#REF!,A250)&gt;pers_PD_max_months,$B$135,""),""),"")</f>
        <v/>
      </c>
      <c r="M250" s="113" t="str">
        <f>IFERROR(IF(COUNTIF(INDEX(#REF!,A250),"*Non-scientific*")&gt;0,IF(OR(IFERROR(MATCH("*PhD*",#REF!,0),0)&gt;0,IFERROR(MATCH("*PostDoc*",#REF!,0),0)&gt;0),"",$B$136),""),"")</f>
        <v/>
      </c>
      <c r="N250" s="113" t="str">
        <f>IFERROR(IF(COUNTIF(INDEX(#REF!,A250),"*Non-scientific*")&gt;0,IF(Total_NSP&gt;pers_max_NSP,$B$137,""),""),"")</f>
        <v/>
      </c>
      <c r="O250" s="113" t="str">
        <f>IFERROR(IF(COUNTIF(INDEX(#REF!,A250),"*Non-scientific*")&gt;0,IF(INDEX(#REF!,A250)*INDEX(#REF!,A250)&lt;pers_NSP_min_months,$B$138,""),""),"")</f>
        <v/>
      </c>
      <c r="P250" s="113" t="str">
        <f>IFERROR(IF(COUNTIF(INDEX(#REF!,A250),"*Non-scientific*")&gt;0,IF(INDEX(#REF!,A250)*INDEX(#REF!,A250)&gt;pers_NSP_max_months,$B$139,""),""),"")</f>
        <v/>
      </c>
      <c r="Q250" s="113" t="str">
        <f>IFERROR(IF(COUNTIF(INDEX(#REF!,A250),"*Other scientific*")&gt;0,IF(OR(IFERROR(MATCH("*PhD*",#REF!,0),0)&gt;0,IFERROR(MATCH("*PostDoc*",#REF!,0),0)&gt;0),"",$B$140),""),"")</f>
        <v/>
      </c>
      <c r="R250" s="113" t="str">
        <f>IFERROR(IF(COUNTIF(INDEX(#REF!,A250),"*Other scientific*")&gt;0,IF(Total_OSP&gt;pers_max_OSP,$B$141,""),""),"")</f>
        <v/>
      </c>
      <c r="S250" s="113" t="str">
        <f>IFERROR(IF(COUNTIF(INDEX(#REF!,A250),"*Other scientific*")&gt;0,IF(INDEX(#REF!,A250)*INDEX(#REF!,A250)&lt;pers_OSP_min_months,$B$142,""),""),"")</f>
        <v/>
      </c>
      <c r="T250" s="113" t="str">
        <f>IFERROR(IF(COUNTIF(INDEX(#REF!,A250),"*Other scientific*")&gt;0,IF(INDEX(#REF!,A250)*INDEX(#REF!,A250)&gt;pers_OSP_max_months,$B$143,""),""),"")</f>
        <v/>
      </c>
      <c r="U250" s="113" t="str">
        <f>IFERROR(IF(COUNTIF(INDEX(#REF!,A250),"*leave*")&gt;0,IF(Total_Research_leave&gt;pers_leave_maxperc*Total_NWO_funding,$B$144,""),""),"")</f>
        <v/>
      </c>
      <c r="V250" s="113" t="str">
        <f>IFERROR(IF(COUNTIF(INDEX(#REF!,A250),"*leave*")&gt;0,IF(Research_leave_FTE_months&gt;pers_leave_maxduration,$B$145,""),""),"")</f>
        <v/>
      </c>
      <c r="W250" s="113" t="str">
        <f>IFERROR(IF(AND(INDEX(#REF!,A250)=0,INDEX(salaries_academic[[category]:[1]],MATCH(INDEX(#REF!,A250),salaries_academic[category],0),3)=0),$B$148,""),"")</f>
        <v/>
      </c>
      <c r="X250" s="113" t="e">
        <f>IF(AND(organisation_type="yes",INDEX(#REF!,A250,1)&lt;&gt;"",ISBLANK(INDEX(#REF!,A250,1))),$B$146,"")</f>
        <v>#REF!</v>
      </c>
      <c r="Y250" s="113" t="e">
        <f>IF(AND(organisation_name="yes",INDEX(#REF!,A250,1)&lt;&gt;"",ISBLANK(INDEX(#REF!,A250,1))),$B$147,"")</f>
        <v>#REF!</v>
      </c>
      <c r="Z250" s="113" t="str">
        <f>IFERROR(IF(AND(INDEX(#REF!,A250)&gt;0,INDEX(salaries_academic[[category]:[1]],MATCH(INDEX(#REF!,A250),salaries_academic[category],0),3)&gt;0),$B$149,""),"")</f>
        <v/>
      </c>
    </row>
    <row r="251" spans="1:26" outlineLevel="1" x14ac:dyDescent="0.35">
      <c r="A251" s="113">
        <v>44</v>
      </c>
      <c r="B251" s="113" t="str">
        <f t="array" ref="B251">IFERROR(INDEX(personnel_ac_notes[[#This Row],[Exceeding nr months]:[Costs specified]],1,MATCH(TRUE,LEN(personnel_ac_notes[[#This Row],[Exceeding nr months]:[Costs specified]])&gt;0,0)),"")</f>
        <v/>
      </c>
      <c r="C251" s="113" t="str">
        <f>IFERROR(IF(INDEX(#REF!,A251)&gt;Max_project_duration,$B$128,""),"")</f>
        <v/>
      </c>
      <c r="D251" s="113" t="str">
        <f>IFERROR(IF(AND(LEN(INDEX(#REF!,A251))+LEN(INDEX(#REF!,A251))+LEN(INDEX(#REF!,A251))&gt;0,LEN(INDEX(#REF!,A251-1))+LEN(INDEX(#REF!,A251-1))+LEN(INDEX(#REF!,A251-1))=0),$B$127,""),"")</f>
        <v/>
      </c>
      <c r="E251" s="113" t="str">
        <f>IF(AND(NOT(ISBLANK(INDEX(#REF!,A251))),OR(ISBLANK(INDEX(#REF!,A251)),ISBLANK(INDEX(#REF!,A251)))),VLOOKUP(INDEX(#REF!,A251),salaries_academic[],2,FALSE),"")</f>
        <v/>
      </c>
      <c r="F251" s="113" t="str">
        <f>IFERROR(IF(COUNTIF(INDEX(#REF!,A251),"*- PhD*")&gt;0,IF(INDEX(#REF!,A251)*INDEX(#REF!,A251)&lt;pers_PhD_min_months,$B$129,""),""),"")</f>
        <v/>
      </c>
      <c r="G251" s="113" t="str">
        <f>IFERROR(IF(COUNTIF(INDEX(#REF!,$A251),"*- PhD*")&gt;0,IF(INDEX(#REF!,$A251)*INDEX(#REF!,$A251)&gt;pers_PhD_max_months,$B$130,""),""),"")</f>
        <v/>
      </c>
      <c r="H251" s="113" t="str">
        <f>IFERROR(IF(COUNTIF(INDEX(#REF!,A251),"*year*")&gt;0,IF(INDEX(#REF!,A251)*INDEX(#REF!,A251)&lt;pers_3yPhD_min_months,$B$131,""),""),"")</f>
        <v/>
      </c>
      <c r="I251" s="113" t="str">
        <f>IFERROR(IF(COUNTIF(INDEX(#REF!,A251),"*PDEng*")&gt;0,IF(OR(IFERROR(MATCH("*PhD*",#REF!,0),0)&gt;0,IFERROR(MATCH("*PostDoc*",#REF!,0),0)&gt;0),"",$B$132),""),"")</f>
        <v/>
      </c>
      <c r="J251" s="113" t="str">
        <f>IFERROR(IF(COUNTIF(INDEX(#REF!,A251),"*PDEng*")&gt;0,IF(INDEX(#REF!,A251)*INDEX(#REF!,A251)&gt;pers_PDEng_max_months,$B$133,""),""),"")</f>
        <v/>
      </c>
      <c r="K251" s="113" t="str">
        <f>IFERROR(IF(COUNTIF(INDEX(#REF!,A251),"*PostDoc*")&gt;0,IF(INDEX(#REF!,A251)*INDEX(#REF!,A251)&lt;pers_PD_min_months,$B$134,""),""),"")</f>
        <v/>
      </c>
      <c r="L251" s="113" t="str">
        <f>IFERROR(IF(COUNTIF(INDEX(#REF!,A251),"*PostDoc*")&gt;0,IF(INDEX(#REF!,A251)*INDEX(#REF!,A251)&gt;pers_PD_max_months,$B$135,""),""),"")</f>
        <v/>
      </c>
      <c r="M251" s="113" t="str">
        <f>IFERROR(IF(COUNTIF(INDEX(#REF!,A251),"*Non-scientific*")&gt;0,IF(OR(IFERROR(MATCH("*PhD*",#REF!,0),0)&gt;0,IFERROR(MATCH("*PostDoc*",#REF!,0),0)&gt;0),"",$B$136),""),"")</f>
        <v/>
      </c>
      <c r="N251" s="113" t="str">
        <f>IFERROR(IF(COUNTIF(INDEX(#REF!,A251),"*Non-scientific*")&gt;0,IF(Total_NSP&gt;pers_max_NSP,$B$137,""),""),"")</f>
        <v/>
      </c>
      <c r="O251" s="113" t="str">
        <f>IFERROR(IF(COUNTIF(INDEX(#REF!,A251),"*Non-scientific*")&gt;0,IF(INDEX(#REF!,A251)*INDEX(#REF!,A251)&lt;pers_NSP_min_months,$B$138,""),""),"")</f>
        <v/>
      </c>
      <c r="P251" s="113" t="str">
        <f>IFERROR(IF(COUNTIF(INDEX(#REF!,A251),"*Non-scientific*")&gt;0,IF(INDEX(#REF!,A251)*INDEX(#REF!,A251)&gt;pers_NSP_max_months,$B$139,""),""),"")</f>
        <v/>
      </c>
      <c r="Q251" s="113" t="str">
        <f>IFERROR(IF(COUNTIF(INDEX(#REF!,A251),"*Other scientific*")&gt;0,IF(OR(IFERROR(MATCH("*PhD*",#REF!,0),0)&gt;0,IFERROR(MATCH("*PostDoc*",#REF!,0),0)&gt;0),"",$B$140),""),"")</f>
        <v/>
      </c>
      <c r="R251" s="113" t="str">
        <f>IFERROR(IF(COUNTIF(INDEX(#REF!,A251),"*Other scientific*")&gt;0,IF(Total_OSP&gt;pers_max_OSP,$B$141,""),""),"")</f>
        <v/>
      </c>
      <c r="S251" s="113" t="str">
        <f>IFERROR(IF(COUNTIF(INDEX(#REF!,A251),"*Other scientific*")&gt;0,IF(INDEX(#REF!,A251)*INDEX(#REF!,A251)&lt;pers_OSP_min_months,$B$142,""),""),"")</f>
        <v/>
      </c>
      <c r="T251" s="113" t="str">
        <f>IFERROR(IF(COUNTIF(INDEX(#REF!,A251),"*Other scientific*")&gt;0,IF(INDEX(#REF!,A251)*INDEX(#REF!,A251)&gt;pers_OSP_max_months,$B$143,""),""),"")</f>
        <v/>
      </c>
      <c r="U251" s="113" t="str">
        <f>IFERROR(IF(COUNTIF(INDEX(#REF!,A251),"*leave*")&gt;0,IF(Total_Research_leave&gt;pers_leave_maxperc*Total_NWO_funding,$B$144,""),""),"")</f>
        <v/>
      </c>
      <c r="V251" s="113" t="str">
        <f>IFERROR(IF(COUNTIF(INDEX(#REF!,A251),"*leave*")&gt;0,IF(Research_leave_FTE_months&gt;pers_leave_maxduration,$B$145,""),""),"")</f>
        <v/>
      </c>
      <c r="W251" s="113" t="str">
        <f>IFERROR(IF(AND(INDEX(#REF!,A251)=0,INDEX(salaries_academic[[category]:[1]],MATCH(INDEX(#REF!,A251),salaries_academic[category],0),3)=0),$B$148,""),"")</f>
        <v/>
      </c>
      <c r="X251" s="113" t="e">
        <f>IF(AND(organisation_type="yes",INDEX(#REF!,A251,1)&lt;&gt;"",ISBLANK(INDEX(#REF!,A251,1))),$B$146,"")</f>
        <v>#REF!</v>
      </c>
      <c r="Y251" s="113" t="e">
        <f>IF(AND(organisation_name="yes",INDEX(#REF!,A251,1)&lt;&gt;"",ISBLANK(INDEX(#REF!,A251,1))),$B$147,"")</f>
        <v>#REF!</v>
      </c>
      <c r="Z251" s="113" t="str">
        <f>IFERROR(IF(AND(INDEX(#REF!,A251)&gt;0,INDEX(salaries_academic[[category]:[1]],MATCH(INDEX(#REF!,A251),salaries_academic[category],0),3)&gt;0),$B$149,""),"")</f>
        <v/>
      </c>
    </row>
    <row r="252" spans="1:26" outlineLevel="1" x14ac:dyDescent="0.35">
      <c r="A252" s="113">
        <v>45</v>
      </c>
      <c r="B252" s="113" t="str">
        <f t="array" ref="B252">IFERROR(INDEX(personnel_ac_notes[[#This Row],[Exceeding nr months]:[Costs specified]],1,MATCH(TRUE,LEN(personnel_ac_notes[[#This Row],[Exceeding nr months]:[Costs specified]])&gt;0,0)),"")</f>
        <v/>
      </c>
      <c r="C252" s="113" t="str">
        <f>IFERROR(IF(INDEX(#REF!,A252)&gt;Max_project_duration,$B$128,""),"")</f>
        <v/>
      </c>
      <c r="D252" s="113" t="str">
        <f>IFERROR(IF(AND(LEN(INDEX(#REF!,A252))+LEN(INDEX(#REF!,A252))+LEN(INDEX(#REF!,A252))&gt;0,LEN(INDEX(#REF!,A252-1))+LEN(INDEX(#REF!,A252-1))+LEN(INDEX(#REF!,A252-1))=0),$B$127,""),"")</f>
        <v/>
      </c>
      <c r="E252" s="113" t="str">
        <f>IF(AND(NOT(ISBLANK(INDEX(#REF!,A252))),OR(ISBLANK(INDEX(#REF!,A252)),ISBLANK(INDEX(#REF!,A252)))),VLOOKUP(INDEX(#REF!,A252),salaries_academic[],2,FALSE),"")</f>
        <v/>
      </c>
      <c r="F252" s="113" t="str">
        <f>IFERROR(IF(COUNTIF(INDEX(#REF!,A252),"*- PhD*")&gt;0,IF(INDEX(#REF!,A252)*INDEX(#REF!,A252)&lt;pers_PhD_min_months,$B$129,""),""),"")</f>
        <v/>
      </c>
      <c r="G252" s="113" t="str">
        <f>IFERROR(IF(COUNTIF(INDEX(#REF!,$A252),"*- PhD*")&gt;0,IF(INDEX(#REF!,$A252)*INDEX(#REF!,$A252)&gt;pers_PhD_max_months,$B$130,""),""),"")</f>
        <v/>
      </c>
      <c r="H252" s="113" t="str">
        <f>IFERROR(IF(COUNTIF(INDEX(#REF!,A252),"*year*")&gt;0,IF(INDEX(#REF!,A252)*INDEX(#REF!,A252)&lt;pers_3yPhD_min_months,$B$131,""),""),"")</f>
        <v/>
      </c>
      <c r="I252" s="113" t="str">
        <f>IFERROR(IF(COUNTIF(INDEX(#REF!,A252),"*PDEng*")&gt;0,IF(OR(IFERROR(MATCH("*PhD*",#REF!,0),0)&gt;0,IFERROR(MATCH("*PostDoc*",#REF!,0),0)&gt;0),"",$B$132),""),"")</f>
        <v/>
      </c>
      <c r="J252" s="113" t="str">
        <f>IFERROR(IF(COUNTIF(INDEX(#REF!,A252),"*PDEng*")&gt;0,IF(INDEX(#REF!,A252)*INDEX(#REF!,A252)&gt;pers_PDEng_max_months,$B$133,""),""),"")</f>
        <v/>
      </c>
      <c r="K252" s="113" t="str">
        <f>IFERROR(IF(COUNTIF(INDEX(#REF!,A252),"*PostDoc*")&gt;0,IF(INDEX(#REF!,A252)*INDEX(#REF!,A252)&lt;pers_PD_min_months,$B$134,""),""),"")</f>
        <v/>
      </c>
      <c r="L252" s="113" t="str">
        <f>IFERROR(IF(COUNTIF(INDEX(#REF!,A252),"*PostDoc*")&gt;0,IF(INDEX(#REF!,A252)*INDEX(#REF!,A252)&gt;pers_PD_max_months,$B$135,""),""),"")</f>
        <v/>
      </c>
      <c r="M252" s="113" t="str">
        <f>IFERROR(IF(COUNTIF(INDEX(#REF!,A252),"*Non-scientific*")&gt;0,IF(OR(IFERROR(MATCH("*PhD*",#REF!,0),0)&gt;0,IFERROR(MATCH("*PostDoc*",#REF!,0),0)&gt;0),"",$B$136),""),"")</f>
        <v/>
      </c>
      <c r="N252" s="113" t="str">
        <f>IFERROR(IF(COUNTIF(INDEX(#REF!,A252),"*Non-scientific*")&gt;0,IF(Total_NSP&gt;pers_max_NSP,$B$137,""),""),"")</f>
        <v/>
      </c>
      <c r="O252" s="113" t="str">
        <f>IFERROR(IF(COUNTIF(INDEX(#REF!,A252),"*Non-scientific*")&gt;0,IF(INDEX(#REF!,A252)*INDEX(#REF!,A252)&lt;pers_NSP_min_months,$B$138,""),""),"")</f>
        <v/>
      </c>
      <c r="P252" s="113" t="str">
        <f>IFERROR(IF(COUNTIF(INDEX(#REF!,A252),"*Non-scientific*")&gt;0,IF(INDEX(#REF!,A252)*INDEX(#REF!,A252)&gt;pers_NSP_max_months,$B$139,""),""),"")</f>
        <v/>
      </c>
      <c r="Q252" s="113" t="str">
        <f>IFERROR(IF(COUNTIF(INDEX(#REF!,A252),"*Other scientific*")&gt;0,IF(OR(IFERROR(MATCH("*PhD*",#REF!,0),0)&gt;0,IFERROR(MATCH("*PostDoc*",#REF!,0),0)&gt;0),"",$B$140),""),"")</f>
        <v/>
      </c>
      <c r="R252" s="113" t="str">
        <f>IFERROR(IF(COUNTIF(INDEX(#REF!,A252),"*Other scientific*")&gt;0,IF(Total_OSP&gt;pers_max_OSP,$B$141,""),""),"")</f>
        <v/>
      </c>
      <c r="S252" s="113" t="str">
        <f>IFERROR(IF(COUNTIF(INDEX(#REF!,A252),"*Other scientific*")&gt;0,IF(INDEX(#REF!,A252)*INDEX(#REF!,A252)&lt;pers_OSP_min_months,$B$142,""),""),"")</f>
        <v/>
      </c>
      <c r="T252" s="113" t="str">
        <f>IFERROR(IF(COUNTIF(INDEX(#REF!,A252),"*Other scientific*")&gt;0,IF(INDEX(#REF!,A252)*INDEX(#REF!,A252)&gt;pers_OSP_max_months,$B$143,""),""),"")</f>
        <v/>
      </c>
      <c r="U252" s="113" t="str">
        <f>IFERROR(IF(COUNTIF(INDEX(#REF!,A252),"*leave*")&gt;0,IF(Total_Research_leave&gt;pers_leave_maxperc*Total_NWO_funding,$B$144,""),""),"")</f>
        <v/>
      </c>
      <c r="V252" s="113" t="str">
        <f>IFERROR(IF(COUNTIF(INDEX(#REF!,A252),"*leave*")&gt;0,IF(Research_leave_FTE_months&gt;pers_leave_maxduration,$B$145,""),""),"")</f>
        <v/>
      </c>
      <c r="W252" s="113" t="str">
        <f>IFERROR(IF(AND(INDEX(#REF!,A252)=0,INDEX(salaries_academic[[category]:[1]],MATCH(INDEX(#REF!,A252),salaries_academic[category],0),3)=0),$B$148,""),"")</f>
        <v/>
      </c>
      <c r="X252" s="113" t="e">
        <f>IF(AND(organisation_type="yes",INDEX(#REF!,A252,1)&lt;&gt;"",ISBLANK(INDEX(#REF!,A252,1))),$B$146,"")</f>
        <v>#REF!</v>
      </c>
      <c r="Y252" s="113" t="e">
        <f>IF(AND(organisation_name="yes",INDEX(#REF!,A252,1)&lt;&gt;"",ISBLANK(INDEX(#REF!,A252,1))),$B$147,"")</f>
        <v>#REF!</v>
      </c>
      <c r="Z252" s="113" t="str">
        <f>IFERROR(IF(AND(INDEX(#REF!,A252)&gt;0,INDEX(salaries_academic[[category]:[1]],MATCH(INDEX(#REF!,A252),salaries_academic[category],0),3)&gt;0),$B$149,""),"")</f>
        <v/>
      </c>
    </row>
    <row r="253" spans="1:26" outlineLevel="1" x14ac:dyDescent="0.35">
      <c r="A253" s="113">
        <v>46</v>
      </c>
      <c r="B253" s="113" t="str">
        <f t="array" ref="B253">IFERROR(INDEX(personnel_ac_notes[[#This Row],[Exceeding nr months]:[Costs specified]],1,MATCH(TRUE,LEN(personnel_ac_notes[[#This Row],[Exceeding nr months]:[Costs specified]])&gt;0,0)),"")</f>
        <v/>
      </c>
      <c r="C253" s="113" t="str">
        <f>IFERROR(IF(INDEX(#REF!,A253)&gt;Max_project_duration,$B$128,""),"")</f>
        <v/>
      </c>
      <c r="D253" s="113" t="str">
        <f>IFERROR(IF(AND(LEN(INDEX(#REF!,A253))+LEN(INDEX(#REF!,A253))+LEN(INDEX(#REF!,A253))&gt;0,LEN(INDEX(#REF!,A253-1))+LEN(INDEX(#REF!,A253-1))+LEN(INDEX(#REF!,A253-1))=0),$B$127,""),"")</f>
        <v/>
      </c>
      <c r="E253" s="113" t="str">
        <f>IF(AND(NOT(ISBLANK(INDEX(#REF!,A253))),OR(ISBLANK(INDEX(#REF!,A253)),ISBLANK(INDEX(#REF!,A253)))),VLOOKUP(INDEX(#REF!,A253),salaries_academic[],2,FALSE),"")</f>
        <v/>
      </c>
      <c r="F253" s="113" t="str">
        <f>IFERROR(IF(COUNTIF(INDEX(#REF!,A253),"*- PhD*")&gt;0,IF(INDEX(#REF!,A253)*INDEX(#REF!,A253)&lt;pers_PhD_min_months,$B$129,""),""),"")</f>
        <v/>
      </c>
      <c r="G253" s="113" t="str">
        <f>IFERROR(IF(COUNTIF(INDEX(#REF!,$A253),"*- PhD*")&gt;0,IF(INDEX(#REF!,$A253)*INDEX(#REF!,$A253)&gt;pers_PhD_max_months,$B$130,""),""),"")</f>
        <v/>
      </c>
      <c r="H253" s="113" t="str">
        <f>IFERROR(IF(COUNTIF(INDEX(#REF!,A253),"*year*")&gt;0,IF(INDEX(#REF!,A253)*INDEX(#REF!,A253)&lt;pers_3yPhD_min_months,$B$131,""),""),"")</f>
        <v/>
      </c>
      <c r="I253" s="113" t="str">
        <f>IFERROR(IF(COUNTIF(INDEX(#REF!,A253),"*PDEng*")&gt;0,IF(OR(IFERROR(MATCH("*PhD*",#REF!,0),0)&gt;0,IFERROR(MATCH("*PostDoc*",#REF!,0),0)&gt;0),"",$B$132),""),"")</f>
        <v/>
      </c>
      <c r="J253" s="113" t="str">
        <f>IFERROR(IF(COUNTIF(INDEX(#REF!,A253),"*PDEng*")&gt;0,IF(INDEX(#REF!,A253)*INDEX(#REF!,A253)&gt;pers_PDEng_max_months,$B$133,""),""),"")</f>
        <v/>
      </c>
      <c r="K253" s="113" t="str">
        <f>IFERROR(IF(COUNTIF(INDEX(#REF!,A253),"*PostDoc*")&gt;0,IF(INDEX(#REF!,A253)*INDEX(#REF!,A253)&lt;pers_PD_min_months,$B$134,""),""),"")</f>
        <v/>
      </c>
      <c r="L253" s="113" t="str">
        <f>IFERROR(IF(COUNTIF(INDEX(#REF!,A253),"*PostDoc*")&gt;0,IF(INDEX(#REF!,A253)*INDEX(#REF!,A253)&gt;pers_PD_max_months,$B$135,""),""),"")</f>
        <v/>
      </c>
      <c r="M253" s="113" t="str">
        <f>IFERROR(IF(COUNTIF(INDEX(#REF!,A253),"*Non-scientific*")&gt;0,IF(OR(IFERROR(MATCH("*PhD*",#REF!,0),0)&gt;0,IFERROR(MATCH("*PostDoc*",#REF!,0),0)&gt;0),"",$B$136),""),"")</f>
        <v/>
      </c>
      <c r="N253" s="113" t="str">
        <f>IFERROR(IF(COUNTIF(INDEX(#REF!,A253),"*Non-scientific*")&gt;0,IF(Total_NSP&gt;pers_max_NSP,$B$137,""),""),"")</f>
        <v/>
      </c>
      <c r="O253" s="113" t="str">
        <f>IFERROR(IF(COUNTIF(INDEX(#REF!,A253),"*Non-scientific*")&gt;0,IF(INDEX(#REF!,A253)*INDEX(#REF!,A253)&lt;pers_NSP_min_months,$B$138,""),""),"")</f>
        <v/>
      </c>
      <c r="P253" s="113" t="str">
        <f>IFERROR(IF(COUNTIF(INDEX(#REF!,A253),"*Non-scientific*")&gt;0,IF(INDEX(#REF!,A253)*INDEX(#REF!,A253)&gt;pers_NSP_max_months,$B$139,""),""),"")</f>
        <v/>
      </c>
      <c r="Q253" s="113" t="str">
        <f>IFERROR(IF(COUNTIF(INDEX(#REF!,A253),"*Other scientific*")&gt;0,IF(OR(IFERROR(MATCH("*PhD*",#REF!,0),0)&gt;0,IFERROR(MATCH("*PostDoc*",#REF!,0),0)&gt;0),"",$B$140),""),"")</f>
        <v/>
      </c>
      <c r="R253" s="113" t="str">
        <f>IFERROR(IF(COUNTIF(INDEX(#REF!,A253),"*Other scientific*")&gt;0,IF(Total_OSP&gt;pers_max_OSP,$B$141,""),""),"")</f>
        <v/>
      </c>
      <c r="S253" s="113" t="str">
        <f>IFERROR(IF(COUNTIF(INDEX(#REF!,A253),"*Other scientific*")&gt;0,IF(INDEX(#REF!,A253)*INDEX(#REF!,A253)&lt;pers_OSP_min_months,$B$142,""),""),"")</f>
        <v/>
      </c>
      <c r="T253" s="113" t="str">
        <f>IFERROR(IF(COUNTIF(INDEX(#REF!,A253),"*Other scientific*")&gt;0,IF(INDEX(#REF!,A253)*INDEX(#REF!,A253)&gt;pers_OSP_max_months,$B$143,""),""),"")</f>
        <v/>
      </c>
      <c r="U253" s="113" t="str">
        <f>IFERROR(IF(COUNTIF(INDEX(#REF!,A253),"*leave*")&gt;0,IF(Total_Research_leave&gt;pers_leave_maxperc*Total_NWO_funding,$B$144,""),""),"")</f>
        <v/>
      </c>
      <c r="V253" s="113" t="str">
        <f>IFERROR(IF(COUNTIF(INDEX(#REF!,A253),"*leave*")&gt;0,IF(Research_leave_FTE_months&gt;pers_leave_maxduration,$B$145,""),""),"")</f>
        <v/>
      </c>
      <c r="W253" s="113" t="str">
        <f>IFERROR(IF(AND(INDEX(#REF!,A253)=0,INDEX(salaries_academic[[category]:[1]],MATCH(INDEX(#REF!,A253),salaries_academic[category],0),3)=0),$B$148,""),"")</f>
        <v/>
      </c>
      <c r="X253" s="113" t="e">
        <f>IF(AND(organisation_type="yes",INDEX(#REF!,A253,1)&lt;&gt;"",ISBLANK(INDEX(#REF!,A253,1))),$B$146,"")</f>
        <v>#REF!</v>
      </c>
      <c r="Y253" s="113" t="e">
        <f>IF(AND(organisation_name="yes",INDEX(#REF!,A253,1)&lt;&gt;"",ISBLANK(INDEX(#REF!,A253,1))),$B$147,"")</f>
        <v>#REF!</v>
      </c>
      <c r="Z253" s="113" t="str">
        <f>IFERROR(IF(AND(INDEX(#REF!,A253)&gt;0,INDEX(salaries_academic[[category]:[1]],MATCH(INDEX(#REF!,A253),salaries_academic[category],0),3)&gt;0),$B$149,""),"")</f>
        <v/>
      </c>
    </row>
    <row r="254" spans="1:26" outlineLevel="1" x14ac:dyDescent="0.35">
      <c r="A254" s="113">
        <v>47</v>
      </c>
      <c r="B254" s="113" t="str">
        <f t="array" ref="B254">IFERROR(INDEX(personnel_ac_notes[[#This Row],[Exceeding nr months]:[Costs specified]],1,MATCH(TRUE,LEN(personnel_ac_notes[[#This Row],[Exceeding nr months]:[Costs specified]])&gt;0,0)),"")</f>
        <v/>
      </c>
      <c r="C254" s="113" t="str">
        <f>IFERROR(IF(INDEX(#REF!,A254)&gt;Max_project_duration,$B$128,""),"")</f>
        <v/>
      </c>
      <c r="D254" s="113" t="str">
        <f>IFERROR(IF(AND(LEN(INDEX(#REF!,A254))+LEN(INDEX(#REF!,A254))+LEN(INDEX(#REF!,A254))&gt;0,LEN(INDEX(#REF!,A254-1))+LEN(INDEX(#REF!,A254-1))+LEN(INDEX(#REF!,A254-1))=0),$B$127,""),"")</f>
        <v/>
      </c>
      <c r="E254" s="113" t="str">
        <f>IF(AND(NOT(ISBLANK(INDEX(#REF!,A254))),OR(ISBLANK(INDEX(#REF!,A254)),ISBLANK(INDEX(#REF!,A254)))),VLOOKUP(INDEX(#REF!,A254),salaries_academic[],2,FALSE),"")</f>
        <v/>
      </c>
      <c r="F254" s="113" t="str">
        <f>IFERROR(IF(COUNTIF(INDEX(#REF!,A254),"*- PhD*")&gt;0,IF(INDEX(#REF!,A254)*INDEX(#REF!,A254)&lt;pers_PhD_min_months,$B$129,""),""),"")</f>
        <v/>
      </c>
      <c r="G254" s="113" t="str">
        <f>IFERROR(IF(COUNTIF(INDEX(#REF!,$A254),"*- PhD*")&gt;0,IF(INDEX(#REF!,$A254)*INDEX(#REF!,$A254)&gt;pers_PhD_max_months,$B$130,""),""),"")</f>
        <v/>
      </c>
      <c r="H254" s="113" t="str">
        <f>IFERROR(IF(COUNTIF(INDEX(#REF!,A254),"*year*")&gt;0,IF(INDEX(#REF!,A254)*INDEX(#REF!,A254)&lt;pers_3yPhD_min_months,$B$131,""),""),"")</f>
        <v/>
      </c>
      <c r="I254" s="113" t="str">
        <f>IFERROR(IF(COUNTIF(INDEX(#REF!,A254),"*PDEng*")&gt;0,IF(OR(IFERROR(MATCH("*PhD*",#REF!,0),0)&gt;0,IFERROR(MATCH("*PostDoc*",#REF!,0),0)&gt;0),"",$B$132),""),"")</f>
        <v/>
      </c>
      <c r="J254" s="113" t="str">
        <f>IFERROR(IF(COUNTIF(INDEX(#REF!,A254),"*PDEng*")&gt;0,IF(INDEX(#REF!,A254)*INDEX(#REF!,A254)&gt;pers_PDEng_max_months,$B$133,""),""),"")</f>
        <v/>
      </c>
      <c r="K254" s="113" t="str">
        <f>IFERROR(IF(COUNTIF(INDEX(#REF!,A254),"*PostDoc*")&gt;0,IF(INDEX(#REF!,A254)*INDEX(#REF!,A254)&lt;pers_PD_min_months,$B$134,""),""),"")</f>
        <v/>
      </c>
      <c r="L254" s="113" t="str">
        <f>IFERROR(IF(COUNTIF(INDEX(#REF!,A254),"*PostDoc*")&gt;0,IF(INDEX(#REF!,A254)*INDEX(#REF!,A254)&gt;pers_PD_max_months,$B$135,""),""),"")</f>
        <v/>
      </c>
      <c r="M254" s="113" t="str">
        <f>IFERROR(IF(COUNTIF(INDEX(#REF!,A254),"*Non-scientific*")&gt;0,IF(OR(IFERROR(MATCH("*PhD*",#REF!,0),0)&gt;0,IFERROR(MATCH("*PostDoc*",#REF!,0),0)&gt;0),"",$B$136),""),"")</f>
        <v/>
      </c>
      <c r="N254" s="113" t="str">
        <f>IFERROR(IF(COUNTIF(INDEX(#REF!,A254),"*Non-scientific*")&gt;0,IF(Total_NSP&gt;pers_max_NSP,$B$137,""),""),"")</f>
        <v/>
      </c>
      <c r="O254" s="113" t="str">
        <f>IFERROR(IF(COUNTIF(INDEX(#REF!,A254),"*Non-scientific*")&gt;0,IF(INDEX(#REF!,A254)*INDEX(#REF!,A254)&lt;pers_NSP_min_months,$B$138,""),""),"")</f>
        <v/>
      </c>
      <c r="P254" s="113" t="str">
        <f>IFERROR(IF(COUNTIF(INDEX(#REF!,A254),"*Non-scientific*")&gt;0,IF(INDEX(#REF!,A254)*INDEX(#REF!,A254)&gt;pers_NSP_max_months,$B$139,""),""),"")</f>
        <v/>
      </c>
      <c r="Q254" s="113" t="str">
        <f>IFERROR(IF(COUNTIF(INDEX(#REF!,A254),"*Other scientific*")&gt;0,IF(OR(IFERROR(MATCH("*PhD*",#REF!,0),0)&gt;0,IFERROR(MATCH("*PostDoc*",#REF!,0),0)&gt;0),"",$B$140),""),"")</f>
        <v/>
      </c>
      <c r="R254" s="113" t="str">
        <f>IFERROR(IF(COUNTIF(INDEX(#REF!,A254),"*Other scientific*")&gt;0,IF(Total_OSP&gt;pers_max_OSP,$B$141,""),""),"")</f>
        <v/>
      </c>
      <c r="S254" s="113" t="str">
        <f>IFERROR(IF(COUNTIF(INDEX(#REF!,A254),"*Other scientific*")&gt;0,IF(INDEX(#REF!,A254)*INDEX(#REF!,A254)&lt;pers_OSP_min_months,$B$142,""),""),"")</f>
        <v/>
      </c>
      <c r="T254" s="113" t="str">
        <f>IFERROR(IF(COUNTIF(INDEX(#REF!,A254),"*Other scientific*")&gt;0,IF(INDEX(#REF!,A254)*INDEX(#REF!,A254)&gt;pers_OSP_max_months,$B$143,""),""),"")</f>
        <v/>
      </c>
      <c r="U254" s="113" t="str">
        <f>IFERROR(IF(COUNTIF(INDEX(#REF!,A254),"*leave*")&gt;0,IF(Total_Research_leave&gt;pers_leave_maxperc*Total_NWO_funding,$B$144,""),""),"")</f>
        <v/>
      </c>
      <c r="V254" s="113" t="str">
        <f>IFERROR(IF(COUNTIF(INDEX(#REF!,A254),"*leave*")&gt;0,IF(Research_leave_FTE_months&gt;pers_leave_maxduration,$B$145,""),""),"")</f>
        <v/>
      </c>
      <c r="W254" s="113" t="str">
        <f>IFERROR(IF(AND(INDEX(#REF!,A254)=0,INDEX(salaries_academic[[category]:[1]],MATCH(INDEX(#REF!,A254),salaries_academic[category],0),3)=0),$B$148,""),"")</f>
        <v/>
      </c>
      <c r="X254" s="113" t="e">
        <f>IF(AND(organisation_type="yes",INDEX(#REF!,A254,1)&lt;&gt;"",ISBLANK(INDEX(#REF!,A254,1))),$B$146,"")</f>
        <v>#REF!</v>
      </c>
      <c r="Y254" s="113" t="e">
        <f>IF(AND(organisation_name="yes",INDEX(#REF!,A254,1)&lt;&gt;"",ISBLANK(INDEX(#REF!,A254,1))),$B$147,"")</f>
        <v>#REF!</v>
      </c>
      <c r="Z254" s="113" t="str">
        <f>IFERROR(IF(AND(INDEX(#REF!,A254)&gt;0,INDEX(salaries_academic[[category]:[1]],MATCH(INDEX(#REF!,A254),salaries_academic[category],0),3)&gt;0),$B$149,""),"")</f>
        <v/>
      </c>
    </row>
    <row r="255" spans="1:26" outlineLevel="1" x14ac:dyDescent="0.35">
      <c r="A255" s="113">
        <v>48</v>
      </c>
      <c r="B255" s="113" t="str">
        <f t="array" ref="B255">IFERROR(INDEX(personnel_ac_notes[[#This Row],[Exceeding nr months]:[Costs specified]],1,MATCH(TRUE,LEN(personnel_ac_notes[[#This Row],[Exceeding nr months]:[Costs specified]])&gt;0,0)),"")</f>
        <v/>
      </c>
      <c r="C255" s="113" t="str">
        <f>IFERROR(IF(INDEX(#REF!,A255)&gt;Max_project_duration,$B$128,""),"")</f>
        <v/>
      </c>
      <c r="D255" s="113" t="str">
        <f>IFERROR(IF(AND(LEN(INDEX(#REF!,A255))+LEN(INDEX(#REF!,A255))+LEN(INDEX(#REF!,A255))&gt;0,LEN(INDEX(#REF!,A255-1))+LEN(INDEX(#REF!,A255-1))+LEN(INDEX(#REF!,A255-1))=0),$B$127,""),"")</f>
        <v/>
      </c>
      <c r="E255" s="113" t="str">
        <f>IF(AND(NOT(ISBLANK(INDEX(#REF!,A255))),OR(ISBLANK(INDEX(#REF!,A255)),ISBLANK(INDEX(#REF!,A255)))),VLOOKUP(INDEX(#REF!,A255),salaries_academic[],2,FALSE),"")</f>
        <v/>
      </c>
      <c r="F255" s="113" t="str">
        <f>IFERROR(IF(COUNTIF(INDEX(#REF!,A255),"*- PhD*")&gt;0,IF(INDEX(#REF!,A255)*INDEX(#REF!,A255)&lt;pers_PhD_min_months,$B$129,""),""),"")</f>
        <v/>
      </c>
      <c r="G255" s="113" t="str">
        <f>IFERROR(IF(COUNTIF(INDEX(#REF!,$A255),"*- PhD*")&gt;0,IF(INDEX(#REF!,$A255)*INDEX(#REF!,$A255)&gt;pers_PhD_max_months,$B$130,""),""),"")</f>
        <v/>
      </c>
      <c r="H255" s="113" t="str">
        <f>IFERROR(IF(COUNTIF(INDEX(#REF!,A255),"*year*")&gt;0,IF(INDEX(#REF!,A255)*INDEX(#REF!,A255)&lt;pers_3yPhD_min_months,$B$131,""),""),"")</f>
        <v/>
      </c>
      <c r="I255" s="113" t="str">
        <f>IFERROR(IF(COUNTIF(INDEX(#REF!,A255),"*PDEng*")&gt;0,IF(OR(IFERROR(MATCH("*PhD*",#REF!,0),0)&gt;0,IFERROR(MATCH("*PostDoc*",#REF!,0),0)&gt;0),"",$B$132),""),"")</f>
        <v/>
      </c>
      <c r="J255" s="113" t="str">
        <f>IFERROR(IF(COUNTIF(INDEX(#REF!,A255),"*PDEng*")&gt;0,IF(INDEX(#REF!,A255)*INDEX(#REF!,A255)&gt;pers_PDEng_max_months,$B$133,""),""),"")</f>
        <v/>
      </c>
      <c r="K255" s="113" t="str">
        <f>IFERROR(IF(COUNTIF(INDEX(#REF!,A255),"*PostDoc*")&gt;0,IF(INDEX(#REF!,A255)*INDEX(#REF!,A255)&lt;pers_PD_min_months,$B$134,""),""),"")</f>
        <v/>
      </c>
      <c r="L255" s="113" t="str">
        <f>IFERROR(IF(COUNTIF(INDEX(#REF!,A255),"*PostDoc*")&gt;0,IF(INDEX(#REF!,A255)*INDEX(#REF!,A255)&gt;pers_PD_max_months,$B$135,""),""),"")</f>
        <v/>
      </c>
      <c r="M255" s="113" t="str">
        <f>IFERROR(IF(COUNTIF(INDEX(#REF!,A255),"*Non-scientific*")&gt;0,IF(OR(IFERROR(MATCH("*PhD*",#REF!,0),0)&gt;0,IFERROR(MATCH("*PostDoc*",#REF!,0),0)&gt;0),"",$B$136),""),"")</f>
        <v/>
      </c>
      <c r="N255" s="113" t="str">
        <f>IFERROR(IF(COUNTIF(INDEX(#REF!,A255),"*Non-scientific*")&gt;0,IF(Total_NSP&gt;pers_max_NSP,$B$137,""),""),"")</f>
        <v/>
      </c>
      <c r="O255" s="113" t="str">
        <f>IFERROR(IF(COUNTIF(INDEX(#REF!,A255),"*Non-scientific*")&gt;0,IF(INDEX(#REF!,A255)*INDEX(#REF!,A255)&lt;pers_NSP_min_months,$B$138,""),""),"")</f>
        <v/>
      </c>
      <c r="P255" s="113" t="str">
        <f>IFERROR(IF(COUNTIF(INDEX(#REF!,A255),"*Non-scientific*")&gt;0,IF(INDEX(#REF!,A255)*INDEX(#REF!,A255)&gt;pers_NSP_max_months,$B$139,""),""),"")</f>
        <v/>
      </c>
      <c r="Q255" s="113" t="str">
        <f>IFERROR(IF(COUNTIF(INDEX(#REF!,A255),"*Other scientific*")&gt;0,IF(OR(IFERROR(MATCH("*PhD*",#REF!,0),0)&gt;0,IFERROR(MATCH("*PostDoc*",#REF!,0),0)&gt;0),"",$B$140),""),"")</f>
        <v/>
      </c>
      <c r="R255" s="113" t="str">
        <f>IFERROR(IF(COUNTIF(INDEX(#REF!,A255),"*Other scientific*")&gt;0,IF(Total_OSP&gt;pers_max_OSP,$B$141,""),""),"")</f>
        <v/>
      </c>
      <c r="S255" s="113" t="str">
        <f>IFERROR(IF(COUNTIF(INDEX(#REF!,A255),"*Other scientific*")&gt;0,IF(INDEX(#REF!,A255)*INDEX(#REF!,A255)&lt;pers_OSP_min_months,$B$142,""),""),"")</f>
        <v/>
      </c>
      <c r="T255" s="113" t="str">
        <f>IFERROR(IF(COUNTIF(INDEX(#REF!,A255),"*Other scientific*")&gt;0,IF(INDEX(#REF!,A255)*INDEX(#REF!,A255)&gt;pers_OSP_max_months,$B$143,""),""),"")</f>
        <v/>
      </c>
      <c r="U255" s="113" t="str">
        <f>IFERROR(IF(COUNTIF(INDEX(#REF!,A255),"*leave*")&gt;0,IF(Total_Research_leave&gt;pers_leave_maxperc*Total_NWO_funding,$B$144,""),""),"")</f>
        <v/>
      </c>
      <c r="V255" s="113" t="str">
        <f>IFERROR(IF(COUNTIF(INDEX(#REF!,A255),"*leave*")&gt;0,IF(Research_leave_FTE_months&gt;pers_leave_maxduration,$B$145,""),""),"")</f>
        <v/>
      </c>
      <c r="W255" s="113" t="str">
        <f>IFERROR(IF(AND(INDEX(#REF!,A255)=0,INDEX(salaries_academic[[category]:[1]],MATCH(INDEX(#REF!,A255),salaries_academic[category],0),3)=0),$B$148,""),"")</f>
        <v/>
      </c>
      <c r="X255" s="113" t="e">
        <f>IF(AND(organisation_type="yes",INDEX(#REF!,A255,1)&lt;&gt;"",ISBLANK(INDEX(#REF!,A255,1))),$B$146,"")</f>
        <v>#REF!</v>
      </c>
      <c r="Y255" s="113" t="e">
        <f>IF(AND(organisation_name="yes",INDEX(#REF!,A255,1)&lt;&gt;"",ISBLANK(INDEX(#REF!,A255,1))),$B$147,"")</f>
        <v>#REF!</v>
      </c>
      <c r="Z255" s="113" t="str">
        <f>IFERROR(IF(AND(INDEX(#REF!,A255)&gt;0,INDEX(salaries_academic[[category]:[1]],MATCH(INDEX(#REF!,A255),salaries_academic[category],0),3)&gt;0),$B$149,""),"")</f>
        <v/>
      </c>
    </row>
    <row r="256" spans="1:26" outlineLevel="1" x14ac:dyDescent="0.35">
      <c r="A256" s="113">
        <v>49</v>
      </c>
      <c r="B256" s="113" t="str">
        <f t="array" ref="B256">IFERROR(INDEX(personnel_ac_notes[[#This Row],[Exceeding nr months]:[Costs specified]],1,MATCH(TRUE,LEN(personnel_ac_notes[[#This Row],[Exceeding nr months]:[Costs specified]])&gt;0,0)),"")</f>
        <v/>
      </c>
      <c r="C256" s="113" t="str">
        <f>IFERROR(IF(INDEX(#REF!,A256)&gt;Max_project_duration,$B$128,""),"")</f>
        <v/>
      </c>
      <c r="D256" s="113" t="str">
        <f>IFERROR(IF(AND(LEN(INDEX(#REF!,A256))+LEN(INDEX(#REF!,A256))+LEN(INDEX(#REF!,A256))&gt;0,LEN(INDEX(#REF!,A256-1))+LEN(INDEX(#REF!,A256-1))+LEN(INDEX(#REF!,A256-1))=0),$B$127,""),"")</f>
        <v/>
      </c>
      <c r="E256" s="113" t="str">
        <f>IF(AND(NOT(ISBLANK(INDEX(#REF!,A256))),OR(ISBLANK(INDEX(#REF!,A256)),ISBLANK(INDEX(#REF!,A256)))),VLOOKUP(INDEX(#REF!,A256),salaries_academic[],2,FALSE),"")</f>
        <v/>
      </c>
      <c r="F256" s="113" t="str">
        <f>IFERROR(IF(COUNTIF(INDEX(#REF!,A256),"*- PhD*")&gt;0,IF(INDEX(#REF!,A256)*INDEX(#REF!,A256)&lt;pers_PhD_min_months,$B$129,""),""),"")</f>
        <v/>
      </c>
      <c r="G256" s="113" t="str">
        <f>IFERROR(IF(COUNTIF(INDEX(#REF!,$A256),"*- PhD*")&gt;0,IF(INDEX(#REF!,$A256)*INDEX(#REF!,$A256)&gt;pers_PhD_max_months,$B$130,""),""),"")</f>
        <v/>
      </c>
      <c r="H256" s="113" t="str">
        <f>IFERROR(IF(COUNTIF(INDEX(#REF!,A256),"*year*")&gt;0,IF(INDEX(#REF!,A256)*INDEX(#REF!,A256)&lt;pers_3yPhD_min_months,$B$131,""),""),"")</f>
        <v/>
      </c>
      <c r="I256" s="113" t="str">
        <f>IFERROR(IF(COUNTIF(INDEX(#REF!,A256),"*PDEng*")&gt;0,IF(OR(IFERROR(MATCH("*PhD*",#REF!,0),0)&gt;0,IFERROR(MATCH("*PostDoc*",#REF!,0),0)&gt;0),"",$B$132),""),"")</f>
        <v/>
      </c>
      <c r="J256" s="113" t="str">
        <f>IFERROR(IF(COUNTIF(INDEX(#REF!,A256),"*PDEng*")&gt;0,IF(INDEX(#REF!,A256)*INDEX(#REF!,A256)&gt;pers_PDEng_max_months,$B$133,""),""),"")</f>
        <v/>
      </c>
      <c r="K256" s="113" t="str">
        <f>IFERROR(IF(COUNTIF(INDEX(#REF!,A256),"*PostDoc*")&gt;0,IF(INDEX(#REF!,A256)*INDEX(#REF!,A256)&lt;pers_PD_min_months,$B$134,""),""),"")</f>
        <v/>
      </c>
      <c r="L256" s="113" t="str">
        <f>IFERROR(IF(COUNTIF(INDEX(#REF!,A256),"*PostDoc*")&gt;0,IF(INDEX(#REF!,A256)*INDEX(#REF!,A256)&gt;pers_PD_max_months,$B$135,""),""),"")</f>
        <v/>
      </c>
      <c r="M256" s="113" t="str">
        <f>IFERROR(IF(COUNTIF(INDEX(#REF!,A256),"*Non-scientific*")&gt;0,IF(OR(IFERROR(MATCH("*PhD*",#REF!,0),0)&gt;0,IFERROR(MATCH("*PostDoc*",#REF!,0),0)&gt;0),"",$B$136),""),"")</f>
        <v/>
      </c>
      <c r="N256" s="113" t="str">
        <f>IFERROR(IF(COUNTIF(INDEX(#REF!,A256),"*Non-scientific*")&gt;0,IF(Total_NSP&gt;pers_max_NSP,$B$137,""),""),"")</f>
        <v/>
      </c>
      <c r="O256" s="113" t="str">
        <f>IFERROR(IF(COUNTIF(INDEX(#REF!,A256),"*Non-scientific*")&gt;0,IF(INDEX(#REF!,A256)*INDEX(#REF!,A256)&lt;pers_NSP_min_months,$B$138,""),""),"")</f>
        <v/>
      </c>
      <c r="P256" s="113" t="str">
        <f>IFERROR(IF(COUNTIF(INDEX(#REF!,A256),"*Non-scientific*")&gt;0,IF(INDEX(#REF!,A256)*INDEX(#REF!,A256)&gt;pers_NSP_max_months,$B$139,""),""),"")</f>
        <v/>
      </c>
      <c r="Q256" s="113" t="str">
        <f>IFERROR(IF(COUNTIF(INDEX(#REF!,A256),"*Other scientific*")&gt;0,IF(OR(IFERROR(MATCH("*PhD*",#REF!,0),0)&gt;0,IFERROR(MATCH("*PostDoc*",#REF!,0),0)&gt;0),"",$B$140),""),"")</f>
        <v/>
      </c>
      <c r="R256" s="113" t="str">
        <f>IFERROR(IF(COUNTIF(INDEX(#REF!,A256),"*Other scientific*")&gt;0,IF(Total_OSP&gt;pers_max_OSP,$B$141,""),""),"")</f>
        <v/>
      </c>
      <c r="S256" s="113" t="str">
        <f>IFERROR(IF(COUNTIF(INDEX(#REF!,A256),"*Other scientific*")&gt;0,IF(INDEX(#REF!,A256)*INDEX(#REF!,A256)&lt;pers_OSP_min_months,$B$142,""),""),"")</f>
        <v/>
      </c>
      <c r="T256" s="113" t="str">
        <f>IFERROR(IF(COUNTIF(INDEX(#REF!,A256),"*Other scientific*")&gt;0,IF(INDEX(#REF!,A256)*INDEX(#REF!,A256)&gt;pers_OSP_max_months,$B$143,""),""),"")</f>
        <v/>
      </c>
      <c r="U256" s="113" t="str">
        <f>IFERROR(IF(COUNTIF(INDEX(#REF!,A256),"*leave*")&gt;0,IF(Total_Research_leave&gt;pers_leave_maxperc*Total_NWO_funding,$B$144,""),""),"")</f>
        <v/>
      </c>
      <c r="V256" s="113" t="str">
        <f>IFERROR(IF(COUNTIF(INDEX(#REF!,A256),"*leave*")&gt;0,IF(Research_leave_FTE_months&gt;pers_leave_maxduration,$B$145,""),""),"")</f>
        <v/>
      </c>
      <c r="W256" s="113" t="str">
        <f>IFERROR(IF(AND(INDEX(#REF!,A256)=0,INDEX(salaries_academic[[category]:[1]],MATCH(INDEX(#REF!,A256),salaries_academic[category],0),3)=0),$B$148,""),"")</f>
        <v/>
      </c>
      <c r="X256" s="113" t="e">
        <f>IF(AND(organisation_type="yes",INDEX(#REF!,A256,1)&lt;&gt;"",ISBLANK(INDEX(#REF!,A256,1))),$B$146,"")</f>
        <v>#REF!</v>
      </c>
      <c r="Y256" s="113" t="e">
        <f>IF(AND(organisation_name="yes",INDEX(#REF!,A256,1)&lt;&gt;"",ISBLANK(INDEX(#REF!,A256,1))),$B$147,"")</f>
        <v>#REF!</v>
      </c>
      <c r="Z256" s="113" t="str">
        <f>IFERROR(IF(AND(INDEX(#REF!,A256)&gt;0,INDEX(salaries_academic[[category]:[1]],MATCH(INDEX(#REF!,A256),salaries_academic[category],0),3)&gt;0),$B$149,""),"")</f>
        <v/>
      </c>
    </row>
    <row r="257" spans="1:26" outlineLevel="1" x14ac:dyDescent="0.35">
      <c r="A257" s="113">
        <v>50</v>
      </c>
      <c r="B257" s="113" t="str">
        <f t="array" ref="B257">IFERROR(INDEX(personnel_ac_notes[[#This Row],[Exceeding nr months]:[Costs specified]],1,MATCH(TRUE,LEN(personnel_ac_notes[[#This Row],[Exceeding nr months]:[Costs specified]])&gt;0,0)),"")</f>
        <v/>
      </c>
      <c r="C257" s="113" t="str">
        <f>IFERROR(IF(INDEX(#REF!,A257)&gt;Max_project_duration,$B$128,""),"")</f>
        <v/>
      </c>
      <c r="D257" s="113" t="str">
        <f>IFERROR(IF(AND(LEN(INDEX(#REF!,A257))+LEN(INDEX(#REF!,A257))+LEN(INDEX(#REF!,A257))&gt;0,LEN(INDEX(#REF!,A257-1))+LEN(INDEX(#REF!,A257-1))+LEN(INDEX(#REF!,A257-1))=0),$B$127,""),"")</f>
        <v/>
      </c>
      <c r="E257" s="113" t="str">
        <f>IF(AND(NOT(ISBLANK(INDEX(#REF!,A257))),OR(ISBLANK(INDEX(#REF!,A257)),ISBLANK(INDEX(#REF!,A257)))),VLOOKUP(INDEX(#REF!,A257),salaries_academic[],2,FALSE),"")</f>
        <v/>
      </c>
      <c r="F257" s="113" t="str">
        <f>IFERROR(IF(COUNTIF(INDEX(#REF!,A257),"*- PhD*")&gt;0,IF(INDEX(#REF!,A257)*INDEX(#REF!,A257)&lt;pers_PhD_min_months,$B$129,""),""),"")</f>
        <v/>
      </c>
      <c r="G257" s="113" t="str">
        <f>IFERROR(IF(COUNTIF(INDEX(#REF!,$A257),"*- PhD*")&gt;0,IF(INDEX(#REF!,$A257)*INDEX(#REF!,$A257)&gt;pers_PhD_max_months,$B$130,""),""),"")</f>
        <v/>
      </c>
      <c r="H257" s="113" t="str">
        <f>IFERROR(IF(COUNTIF(INDEX(#REF!,A257),"*year*")&gt;0,IF(INDEX(#REF!,A257)*INDEX(#REF!,A257)&lt;pers_3yPhD_min_months,$B$131,""),""),"")</f>
        <v/>
      </c>
      <c r="I257" s="113" t="str">
        <f>IFERROR(IF(COUNTIF(INDEX(#REF!,A257),"*PDEng*")&gt;0,IF(OR(IFERROR(MATCH("*PhD*",#REF!,0),0)&gt;0,IFERROR(MATCH("*PostDoc*",#REF!,0),0)&gt;0),"",$B$132),""),"")</f>
        <v/>
      </c>
      <c r="J257" s="113" t="str">
        <f>IFERROR(IF(COUNTIF(INDEX(#REF!,A257),"*PDEng*")&gt;0,IF(INDEX(#REF!,A257)*INDEX(#REF!,A257)&gt;pers_PDEng_max_months,$B$133,""),""),"")</f>
        <v/>
      </c>
      <c r="K257" s="113" t="str">
        <f>IFERROR(IF(COUNTIF(INDEX(#REF!,A257),"*PostDoc*")&gt;0,IF(INDEX(#REF!,A257)*INDEX(#REF!,A257)&lt;pers_PD_min_months,$B$134,""),""),"")</f>
        <v/>
      </c>
      <c r="L257" s="113" t="str">
        <f>IFERROR(IF(COUNTIF(INDEX(#REF!,A257),"*PostDoc*")&gt;0,IF(INDEX(#REF!,A257)*INDEX(#REF!,A257)&gt;pers_PD_max_months,$B$135,""),""),"")</f>
        <v/>
      </c>
      <c r="M257" s="113" t="str">
        <f>IFERROR(IF(COUNTIF(INDEX(#REF!,A257),"*Non-scientific*")&gt;0,IF(OR(IFERROR(MATCH("*PhD*",#REF!,0),0)&gt;0,IFERROR(MATCH("*PostDoc*",#REF!,0),0)&gt;0),"",$B$136),""),"")</f>
        <v/>
      </c>
      <c r="N257" s="113" t="str">
        <f>IFERROR(IF(COUNTIF(INDEX(#REF!,A257),"*Non-scientific*")&gt;0,IF(Total_NSP&gt;pers_max_NSP,$B$137,""),""),"")</f>
        <v/>
      </c>
      <c r="O257" s="113" t="str">
        <f>IFERROR(IF(COUNTIF(INDEX(#REF!,A257),"*Non-scientific*")&gt;0,IF(INDEX(#REF!,A257)*INDEX(#REF!,A257)&lt;pers_NSP_min_months,$B$138,""),""),"")</f>
        <v/>
      </c>
      <c r="P257" s="113" t="str">
        <f>IFERROR(IF(COUNTIF(INDEX(#REF!,A257),"*Non-scientific*")&gt;0,IF(INDEX(#REF!,A257)*INDEX(#REF!,A257)&gt;pers_NSP_max_months,$B$139,""),""),"")</f>
        <v/>
      </c>
      <c r="Q257" s="113" t="str">
        <f>IFERROR(IF(COUNTIF(INDEX(#REF!,A257),"*Other scientific*")&gt;0,IF(OR(IFERROR(MATCH("*PhD*",#REF!,0),0)&gt;0,IFERROR(MATCH("*PostDoc*",#REF!,0),0)&gt;0),"",$B$140),""),"")</f>
        <v/>
      </c>
      <c r="R257" s="113" t="str">
        <f>IFERROR(IF(COUNTIF(INDEX(#REF!,A257),"*Other scientific*")&gt;0,IF(Total_OSP&gt;pers_max_OSP,$B$141,""),""),"")</f>
        <v/>
      </c>
      <c r="S257" s="113" t="str">
        <f>IFERROR(IF(COUNTIF(INDEX(#REF!,A257),"*Other scientific*")&gt;0,IF(INDEX(#REF!,A257)*INDEX(#REF!,A257)&lt;pers_OSP_min_months,$B$142,""),""),"")</f>
        <v/>
      </c>
      <c r="T257" s="113" t="str">
        <f>IFERROR(IF(COUNTIF(INDEX(#REF!,A257),"*Other scientific*")&gt;0,IF(INDEX(#REF!,A257)*INDEX(#REF!,A257)&gt;pers_OSP_max_months,$B$143,""),""),"")</f>
        <v/>
      </c>
      <c r="U257" s="113" t="str">
        <f>IFERROR(IF(COUNTIF(INDEX(#REF!,A257),"*leave*")&gt;0,IF(Total_Research_leave&gt;pers_leave_maxperc*Total_NWO_funding,$B$144,""),""),"")</f>
        <v/>
      </c>
      <c r="V257" s="113" t="str">
        <f>IFERROR(IF(COUNTIF(INDEX(#REF!,A257),"*leave*")&gt;0,IF(Research_leave_FTE_months&gt;pers_leave_maxduration,$B$145,""),""),"")</f>
        <v/>
      </c>
      <c r="W257" s="113" t="str">
        <f>IFERROR(IF(AND(INDEX(#REF!,A257)=0,INDEX(salaries_academic[[category]:[1]],MATCH(INDEX(#REF!,A257),salaries_academic[category],0),3)=0),$B$148,""),"")</f>
        <v/>
      </c>
      <c r="X257" s="113" t="e">
        <f>IF(AND(organisation_type="yes",INDEX(#REF!,A257,1)&lt;&gt;"",ISBLANK(INDEX(#REF!,A257,1))),$B$146,"")</f>
        <v>#REF!</v>
      </c>
      <c r="Y257" s="113" t="e">
        <f>IF(AND(organisation_name="yes",INDEX(#REF!,A257,1)&lt;&gt;"",ISBLANK(INDEX(#REF!,A257,1))),$B$147,"")</f>
        <v>#REF!</v>
      </c>
      <c r="Z257" s="113" t="str">
        <f>IFERROR(IF(AND(INDEX(#REF!,A257)&gt;0,INDEX(salaries_academic[[category]:[1]],MATCH(INDEX(#REF!,A257),salaries_academic[category],0),3)&gt;0),$B$149,""),"")</f>
        <v/>
      </c>
    </row>
    <row r="258" spans="1:26" outlineLevel="1" x14ac:dyDescent="0.35">
      <c r="A258" s="113">
        <v>51</v>
      </c>
      <c r="B258" s="113" t="str">
        <f t="array" ref="B258">IFERROR(INDEX(personnel_ac_notes[[#This Row],[Exceeding nr months]:[Costs specified]],1,MATCH(TRUE,LEN(personnel_ac_notes[[#This Row],[Exceeding nr months]:[Costs specified]])&gt;0,0)),"")</f>
        <v/>
      </c>
      <c r="C258" s="113" t="str">
        <f>IFERROR(IF(INDEX(#REF!,A258)&gt;Max_project_duration,$B$128,""),"")</f>
        <v/>
      </c>
      <c r="D258" s="113" t="str">
        <f>IFERROR(IF(AND(LEN(INDEX(#REF!,A258))+LEN(INDEX(#REF!,A258))+LEN(INDEX(#REF!,A258))&gt;0,LEN(INDEX(#REF!,A258-1))+LEN(INDEX(#REF!,A258-1))+LEN(INDEX(#REF!,A258-1))=0),$B$127,""),"")</f>
        <v/>
      </c>
      <c r="E258" s="113" t="str">
        <f>IF(AND(NOT(ISBLANK(INDEX(#REF!,A258))),OR(ISBLANK(INDEX(#REF!,A258)),ISBLANK(INDEX(#REF!,A258)))),VLOOKUP(INDEX(#REF!,A258),salaries_academic[],2,FALSE),"")</f>
        <v/>
      </c>
      <c r="F258" s="113" t="str">
        <f>IFERROR(IF(COUNTIF(INDEX(#REF!,A258),"*- PhD*")&gt;0,IF(INDEX(#REF!,A258)*INDEX(#REF!,A258)&lt;pers_PhD_min_months,$B$129,""),""),"")</f>
        <v/>
      </c>
      <c r="G258" s="113" t="str">
        <f>IFERROR(IF(COUNTIF(INDEX(#REF!,$A258),"*- PhD*")&gt;0,IF(INDEX(#REF!,$A258)*INDEX(#REF!,$A258)&gt;pers_PhD_max_months,$B$130,""),""),"")</f>
        <v/>
      </c>
      <c r="H258" s="113" t="str">
        <f>IFERROR(IF(COUNTIF(INDEX(#REF!,A258),"*year*")&gt;0,IF(INDEX(#REF!,A258)*INDEX(#REF!,A258)&lt;pers_3yPhD_min_months,$B$131,""),""),"")</f>
        <v/>
      </c>
      <c r="I258" s="113" t="str">
        <f>IFERROR(IF(COUNTIF(INDEX(#REF!,A258),"*PDEng*")&gt;0,IF(OR(IFERROR(MATCH("*PhD*",#REF!,0),0)&gt;0,IFERROR(MATCH("*PostDoc*",#REF!,0),0)&gt;0),"",$B$132),""),"")</f>
        <v/>
      </c>
      <c r="J258" s="113" t="str">
        <f>IFERROR(IF(COUNTIF(INDEX(#REF!,A258),"*PDEng*")&gt;0,IF(INDEX(#REF!,A258)*INDEX(#REF!,A258)&gt;pers_PDEng_max_months,$B$133,""),""),"")</f>
        <v/>
      </c>
      <c r="K258" s="113" t="str">
        <f>IFERROR(IF(COUNTIF(INDEX(#REF!,A258),"*PostDoc*")&gt;0,IF(INDEX(#REF!,A258)*INDEX(#REF!,A258)&lt;pers_PD_min_months,$B$134,""),""),"")</f>
        <v/>
      </c>
      <c r="L258" s="113" t="str">
        <f>IFERROR(IF(COUNTIF(INDEX(#REF!,A258),"*PostDoc*")&gt;0,IF(INDEX(#REF!,A258)*INDEX(#REF!,A258)&gt;pers_PD_max_months,$B$135,""),""),"")</f>
        <v/>
      </c>
      <c r="M258" s="113" t="str">
        <f>IFERROR(IF(COUNTIF(INDEX(#REF!,A258),"*Non-scientific*")&gt;0,IF(OR(IFERROR(MATCH("*PhD*",#REF!,0),0)&gt;0,IFERROR(MATCH("*PostDoc*",#REF!,0),0)&gt;0),"",$B$136),""),"")</f>
        <v/>
      </c>
      <c r="N258" s="113" t="str">
        <f>IFERROR(IF(COUNTIF(INDEX(#REF!,A258),"*Non-scientific*")&gt;0,IF(Total_NSP&gt;pers_max_NSP,$B$137,""),""),"")</f>
        <v/>
      </c>
      <c r="O258" s="113" t="str">
        <f>IFERROR(IF(COUNTIF(INDEX(#REF!,A258),"*Non-scientific*")&gt;0,IF(INDEX(#REF!,A258)*INDEX(#REF!,A258)&lt;pers_NSP_min_months,$B$138,""),""),"")</f>
        <v/>
      </c>
      <c r="P258" s="113" t="str">
        <f>IFERROR(IF(COUNTIF(INDEX(#REF!,A258),"*Non-scientific*")&gt;0,IF(INDEX(#REF!,A258)*INDEX(#REF!,A258)&gt;pers_NSP_max_months,$B$139,""),""),"")</f>
        <v/>
      </c>
      <c r="Q258" s="113" t="str">
        <f>IFERROR(IF(COUNTIF(INDEX(#REF!,A258),"*Other scientific*")&gt;0,IF(OR(IFERROR(MATCH("*PhD*",#REF!,0),0)&gt;0,IFERROR(MATCH("*PostDoc*",#REF!,0),0)&gt;0),"",$B$140),""),"")</f>
        <v/>
      </c>
      <c r="R258" s="113" t="str">
        <f>IFERROR(IF(COUNTIF(INDEX(#REF!,A258),"*Other scientific*")&gt;0,IF(Total_OSP&gt;pers_max_OSP,$B$141,""),""),"")</f>
        <v/>
      </c>
      <c r="S258" s="113" t="str">
        <f>IFERROR(IF(COUNTIF(INDEX(#REF!,A258),"*Other scientific*")&gt;0,IF(INDEX(#REF!,A258)*INDEX(#REF!,A258)&lt;pers_OSP_min_months,$B$142,""),""),"")</f>
        <v/>
      </c>
      <c r="T258" s="113" t="str">
        <f>IFERROR(IF(COUNTIF(INDEX(#REF!,A258),"*Other scientific*")&gt;0,IF(INDEX(#REF!,A258)*INDEX(#REF!,A258)&gt;pers_OSP_max_months,$B$143,""),""),"")</f>
        <v/>
      </c>
      <c r="U258" s="113" t="str">
        <f>IFERROR(IF(COUNTIF(INDEX(#REF!,A258),"*leave*")&gt;0,IF(Total_Research_leave&gt;pers_leave_maxperc*Total_NWO_funding,$B$144,""),""),"")</f>
        <v/>
      </c>
      <c r="V258" s="113" t="str">
        <f>IFERROR(IF(COUNTIF(INDEX(#REF!,A258),"*leave*")&gt;0,IF(Research_leave_FTE_months&gt;pers_leave_maxduration,$B$145,""),""),"")</f>
        <v/>
      </c>
      <c r="W258" s="113" t="str">
        <f>IFERROR(IF(AND(INDEX(#REF!,A258)=0,INDEX(salaries_academic[[category]:[1]],MATCH(INDEX(#REF!,A258),salaries_academic[category],0),3)=0),$B$148,""),"")</f>
        <v/>
      </c>
      <c r="X258" s="113" t="e">
        <f>IF(AND(organisation_type="yes",INDEX(#REF!,A258,1)&lt;&gt;"",ISBLANK(INDEX(#REF!,A258,1))),$B$146,"")</f>
        <v>#REF!</v>
      </c>
      <c r="Y258" s="113" t="e">
        <f>IF(AND(organisation_name="yes",INDEX(#REF!,A258,1)&lt;&gt;"",ISBLANK(INDEX(#REF!,A258,1))),$B$147,"")</f>
        <v>#REF!</v>
      </c>
      <c r="Z258" s="113" t="str">
        <f>IFERROR(IF(AND(INDEX(#REF!,A258)&gt;0,INDEX(salaries_academic[[category]:[1]],MATCH(INDEX(#REF!,A258),salaries_academic[category],0),3)&gt;0),$B$149,""),"")</f>
        <v/>
      </c>
    </row>
    <row r="259" spans="1:26" outlineLevel="1" x14ac:dyDescent="0.35">
      <c r="A259" s="113">
        <v>52</v>
      </c>
      <c r="B259" s="113" t="str">
        <f t="array" ref="B259">IFERROR(INDEX(personnel_ac_notes[[#This Row],[Exceeding nr months]:[Costs specified]],1,MATCH(TRUE,LEN(personnel_ac_notes[[#This Row],[Exceeding nr months]:[Costs specified]])&gt;0,0)),"")</f>
        <v/>
      </c>
      <c r="C259" s="113" t="str">
        <f>IFERROR(IF(INDEX(#REF!,A259)&gt;Max_project_duration,$B$128,""),"")</f>
        <v/>
      </c>
      <c r="D259" s="113" t="str">
        <f>IFERROR(IF(AND(LEN(INDEX(#REF!,A259))+LEN(INDEX(#REF!,A259))+LEN(INDEX(#REF!,A259))&gt;0,LEN(INDEX(#REF!,A259-1))+LEN(INDEX(#REF!,A259-1))+LEN(INDEX(#REF!,A259-1))=0),$B$127,""),"")</f>
        <v/>
      </c>
      <c r="E259" s="113" t="str">
        <f>IF(AND(NOT(ISBLANK(INDEX(#REF!,A259))),OR(ISBLANK(INDEX(#REF!,A259)),ISBLANK(INDEX(#REF!,A259)))),VLOOKUP(INDEX(#REF!,A259),salaries_academic[],2,FALSE),"")</f>
        <v/>
      </c>
      <c r="F259" s="113" t="str">
        <f>IFERROR(IF(COUNTIF(INDEX(#REF!,A259),"*- PhD*")&gt;0,IF(INDEX(#REF!,A259)*INDEX(#REF!,A259)&lt;pers_PhD_min_months,$B$129,""),""),"")</f>
        <v/>
      </c>
      <c r="G259" s="113" t="str">
        <f>IFERROR(IF(COUNTIF(INDEX(#REF!,$A259),"*- PhD*")&gt;0,IF(INDEX(#REF!,$A259)*INDEX(#REF!,$A259)&gt;pers_PhD_max_months,$B$130,""),""),"")</f>
        <v/>
      </c>
      <c r="H259" s="113" t="str">
        <f>IFERROR(IF(COUNTIF(INDEX(#REF!,A259),"*year*")&gt;0,IF(INDEX(#REF!,A259)*INDEX(#REF!,A259)&lt;pers_3yPhD_min_months,$B$131,""),""),"")</f>
        <v/>
      </c>
      <c r="I259" s="113" t="str">
        <f>IFERROR(IF(COUNTIF(INDEX(#REF!,A259),"*PDEng*")&gt;0,IF(OR(IFERROR(MATCH("*PhD*",#REF!,0),0)&gt;0,IFERROR(MATCH("*PostDoc*",#REF!,0),0)&gt;0),"",$B$132),""),"")</f>
        <v/>
      </c>
      <c r="J259" s="113" t="str">
        <f>IFERROR(IF(COUNTIF(INDEX(#REF!,A259),"*PDEng*")&gt;0,IF(INDEX(#REF!,A259)*INDEX(#REF!,A259)&gt;pers_PDEng_max_months,$B$133,""),""),"")</f>
        <v/>
      </c>
      <c r="K259" s="113" t="str">
        <f>IFERROR(IF(COUNTIF(INDEX(#REF!,A259),"*PostDoc*")&gt;0,IF(INDEX(#REF!,A259)*INDEX(#REF!,A259)&lt;pers_PD_min_months,$B$134,""),""),"")</f>
        <v/>
      </c>
      <c r="L259" s="113" t="str">
        <f>IFERROR(IF(COUNTIF(INDEX(#REF!,A259),"*PostDoc*")&gt;0,IF(INDEX(#REF!,A259)*INDEX(#REF!,A259)&gt;pers_PD_max_months,$B$135,""),""),"")</f>
        <v/>
      </c>
      <c r="M259" s="113" t="str">
        <f>IFERROR(IF(COUNTIF(INDEX(#REF!,A259),"*Non-scientific*")&gt;0,IF(OR(IFERROR(MATCH("*PhD*",#REF!,0),0)&gt;0,IFERROR(MATCH("*PostDoc*",#REF!,0),0)&gt;0),"",$B$136),""),"")</f>
        <v/>
      </c>
      <c r="N259" s="113" t="str">
        <f>IFERROR(IF(COUNTIF(INDEX(#REF!,A259),"*Non-scientific*")&gt;0,IF(Total_NSP&gt;pers_max_NSP,$B$137,""),""),"")</f>
        <v/>
      </c>
      <c r="O259" s="113" t="str">
        <f>IFERROR(IF(COUNTIF(INDEX(#REF!,A259),"*Non-scientific*")&gt;0,IF(INDEX(#REF!,A259)*INDEX(#REF!,A259)&lt;pers_NSP_min_months,$B$138,""),""),"")</f>
        <v/>
      </c>
      <c r="P259" s="113" t="str">
        <f>IFERROR(IF(COUNTIF(INDEX(#REF!,A259),"*Non-scientific*")&gt;0,IF(INDEX(#REF!,A259)*INDEX(#REF!,A259)&gt;pers_NSP_max_months,$B$139,""),""),"")</f>
        <v/>
      </c>
      <c r="Q259" s="113" t="str">
        <f>IFERROR(IF(COUNTIF(INDEX(#REF!,A259),"*Other scientific*")&gt;0,IF(OR(IFERROR(MATCH("*PhD*",#REF!,0),0)&gt;0,IFERROR(MATCH("*PostDoc*",#REF!,0),0)&gt;0),"",$B$140),""),"")</f>
        <v/>
      </c>
      <c r="R259" s="113" t="str">
        <f>IFERROR(IF(COUNTIF(INDEX(#REF!,A259),"*Other scientific*")&gt;0,IF(Total_OSP&gt;pers_max_OSP,$B$141,""),""),"")</f>
        <v/>
      </c>
      <c r="S259" s="113" t="str">
        <f>IFERROR(IF(COUNTIF(INDEX(#REF!,A259),"*Other scientific*")&gt;0,IF(INDEX(#REF!,A259)*INDEX(#REF!,A259)&lt;pers_OSP_min_months,$B$142,""),""),"")</f>
        <v/>
      </c>
      <c r="T259" s="113" t="str">
        <f>IFERROR(IF(COUNTIF(INDEX(#REF!,A259),"*Other scientific*")&gt;0,IF(INDEX(#REF!,A259)*INDEX(#REF!,A259)&gt;pers_OSP_max_months,$B$143,""),""),"")</f>
        <v/>
      </c>
      <c r="U259" s="113" t="str">
        <f>IFERROR(IF(COUNTIF(INDEX(#REF!,A259),"*leave*")&gt;0,IF(Total_Research_leave&gt;pers_leave_maxperc*Total_NWO_funding,$B$144,""),""),"")</f>
        <v/>
      </c>
      <c r="V259" s="113" t="str">
        <f>IFERROR(IF(COUNTIF(INDEX(#REF!,A259),"*leave*")&gt;0,IF(Research_leave_FTE_months&gt;pers_leave_maxduration,$B$145,""),""),"")</f>
        <v/>
      </c>
      <c r="W259" s="113" t="str">
        <f>IFERROR(IF(AND(INDEX(#REF!,A259)=0,INDEX(salaries_academic[[category]:[1]],MATCH(INDEX(#REF!,A259),salaries_academic[category],0),3)=0),$B$148,""),"")</f>
        <v/>
      </c>
      <c r="X259" s="113" t="e">
        <f>IF(AND(organisation_type="yes",INDEX(#REF!,A259,1)&lt;&gt;"",ISBLANK(INDEX(#REF!,A259,1))),$B$146,"")</f>
        <v>#REF!</v>
      </c>
      <c r="Y259" s="113" t="e">
        <f>IF(AND(organisation_name="yes",INDEX(#REF!,A259,1)&lt;&gt;"",ISBLANK(INDEX(#REF!,A259,1))),$B$147,"")</f>
        <v>#REF!</v>
      </c>
      <c r="Z259" s="113" t="str">
        <f>IFERROR(IF(AND(INDEX(#REF!,A259)&gt;0,INDEX(salaries_academic[[category]:[1]],MATCH(INDEX(#REF!,A259),salaries_academic[category],0),3)&gt;0),$B$149,""),"")</f>
        <v/>
      </c>
    </row>
    <row r="260" spans="1:26" outlineLevel="1" x14ac:dyDescent="0.35">
      <c r="A260" s="113">
        <v>53</v>
      </c>
      <c r="B260" s="113" t="str">
        <f t="array" ref="B260">IFERROR(INDEX(personnel_ac_notes[[#This Row],[Exceeding nr months]:[Costs specified]],1,MATCH(TRUE,LEN(personnel_ac_notes[[#This Row],[Exceeding nr months]:[Costs specified]])&gt;0,0)),"")</f>
        <v/>
      </c>
      <c r="C260" s="113" t="str">
        <f>IFERROR(IF(INDEX(#REF!,A260)&gt;Max_project_duration,$B$128,""),"")</f>
        <v/>
      </c>
      <c r="D260" s="113" t="str">
        <f>IFERROR(IF(AND(LEN(INDEX(#REF!,A260))+LEN(INDEX(#REF!,A260))+LEN(INDEX(#REF!,A260))&gt;0,LEN(INDEX(#REF!,A260-1))+LEN(INDEX(#REF!,A260-1))+LEN(INDEX(#REF!,A260-1))=0),$B$127,""),"")</f>
        <v/>
      </c>
      <c r="E260" s="113" t="str">
        <f>IF(AND(NOT(ISBLANK(INDEX(#REF!,A260))),OR(ISBLANK(INDEX(#REF!,A260)),ISBLANK(INDEX(#REF!,A260)))),VLOOKUP(INDEX(#REF!,A260),salaries_academic[],2,FALSE),"")</f>
        <v/>
      </c>
      <c r="F260" s="113" t="str">
        <f>IFERROR(IF(COUNTIF(INDEX(#REF!,A260),"*- PhD*")&gt;0,IF(INDEX(#REF!,A260)*INDEX(#REF!,A260)&lt;pers_PhD_min_months,$B$129,""),""),"")</f>
        <v/>
      </c>
      <c r="G260" s="113" t="str">
        <f>IFERROR(IF(COUNTIF(INDEX(#REF!,$A260),"*- PhD*")&gt;0,IF(INDEX(#REF!,$A260)*INDEX(#REF!,$A260)&gt;pers_PhD_max_months,$B$130,""),""),"")</f>
        <v/>
      </c>
      <c r="H260" s="113" t="str">
        <f>IFERROR(IF(COUNTIF(INDEX(#REF!,A260),"*year*")&gt;0,IF(INDEX(#REF!,A260)*INDEX(#REF!,A260)&lt;pers_3yPhD_min_months,$B$131,""),""),"")</f>
        <v/>
      </c>
      <c r="I260" s="113" t="str">
        <f>IFERROR(IF(COUNTIF(INDEX(#REF!,A260),"*PDEng*")&gt;0,IF(OR(IFERROR(MATCH("*PhD*",#REF!,0),0)&gt;0,IFERROR(MATCH("*PostDoc*",#REF!,0),0)&gt;0),"",$B$132),""),"")</f>
        <v/>
      </c>
      <c r="J260" s="113" t="str">
        <f>IFERROR(IF(COUNTIF(INDEX(#REF!,A260),"*PDEng*")&gt;0,IF(INDEX(#REF!,A260)*INDEX(#REF!,A260)&gt;pers_PDEng_max_months,$B$133,""),""),"")</f>
        <v/>
      </c>
      <c r="K260" s="113" t="str">
        <f>IFERROR(IF(COUNTIF(INDEX(#REF!,A260),"*PostDoc*")&gt;0,IF(INDEX(#REF!,A260)*INDEX(#REF!,A260)&lt;pers_PD_min_months,$B$134,""),""),"")</f>
        <v/>
      </c>
      <c r="L260" s="113" t="str">
        <f>IFERROR(IF(COUNTIF(INDEX(#REF!,A260),"*PostDoc*")&gt;0,IF(INDEX(#REF!,A260)*INDEX(#REF!,A260)&gt;pers_PD_max_months,$B$135,""),""),"")</f>
        <v/>
      </c>
      <c r="M260" s="113" t="str">
        <f>IFERROR(IF(COUNTIF(INDEX(#REF!,A260),"*Non-scientific*")&gt;0,IF(OR(IFERROR(MATCH("*PhD*",#REF!,0),0)&gt;0,IFERROR(MATCH("*PostDoc*",#REF!,0),0)&gt;0),"",$B$136),""),"")</f>
        <v/>
      </c>
      <c r="N260" s="113" t="str">
        <f>IFERROR(IF(COUNTIF(INDEX(#REF!,A260),"*Non-scientific*")&gt;0,IF(Total_NSP&gt;pers_max_NSP,$B$137,""),""),"")</f>
        <v/>
      </c>
      <c r="O260" s="113" t="str">
        <f>IFERROR(IF(COUNTIF(INDEX(#REF!,A260),"*Non-scientific*")&gt;0,IF(INDEX(#REF!,A260)*INDEX(#REF!,A260)&lt;pers_NSP_min_months,$B$138,""),""),"")</f>
        <v/>
      </c>
      <c r="P260" s="113" t="str">
        <f>IFERROR(IF(COUNTIF(INDEX(#REF!,A260),"*Non-scientific*")&gt;0,IF(INDEX(#REF!,A260)*INDEX(#REF!,A260)&gt;pers_NSP_max_months,$B$139,""),""),"")</f>
        <v/>
      </c>
      <c r="Q260" s="113" t="str">
        <f>IFERROR(IF(COUNTIF(INDEX(#REF!,A260),"*Other scientific*")&gt;0,IF(OR(IFERROR(MATCH("*PhD*",#REF!,0),0)&gt;0,IFERROR(MATCH("*PostDoc*",#REF!,0),0)&gt;0),"",$B$140),""),"")</f>
        <v/>
      </c>
      <c r="R260" s="113" t="str">
        <f>IFERROR(IF(COUNTIF(INDEX(#REF!,A260),"*Other scientific*")&gt;0,IF(Total_OSP&gt;pers_max_OSP,$B$141,""),""),"")</f>
        <v/>
      </c>
      <c r="S260" s="113" t="str">
        <f>IFERROR(IF(COUNTIF(INDEX(#REF!,A260),"*Other scientific*")&gt;0,IF(INDEX(#REF!,A260)*INDEX(#REF!,A260)&lt;pers_OSP_min_months,$B$142,""),""),"")</f>
        <v/>
      </c>
      <c r="T260" s="113" t="str">
        <f>IFERROR(IF(COUNTIF(INDEX(#REF!,A260),"*Other scientific*")&gt;0,IF(INDEX(#REF!,A260)*INDEX(#REF!,A260)&gt;pers_OSP_max_months,$B$143,""),""),"")</f>
        <v/>
      </c>
      <c r="U260" s="113" t="str">
        <f>IFERROR(IF(COUNTIF(INDEX(#REF!,A260),"*leave*")&gt;0,IF(Total_Research_leave&gt;pers_leave_maxperc*Total_NWO_funding,$B$144,""),""),"")</f>
        <v/>
      </c>
      <c r="V260" s="113" t="str">
        <f>IFERROR(IF(COUNTIF(INDEX(#REF!,A260),"*leave*")&gt;0,IF(Research_leave_FTE_months&gt;pers_leave_maxduration,$B$145,""),""),"")</f>
        <v/>
      </c>
      <c r="W260" s="113" t="str">
        <f>IFERROR(IF(AND(INDEX(#REF!,A260)=0,INDEX(salaries_academic[[category]:[1]],MATCH(INDEX(#REF!,A260),salaries_academic[category],0),3)=0),$B$148,""),"")</f>
        <v/>
      </c>
      <c r="X260" s="113" t="e">
        <f>IF(AND(organisation_type="yes",INDEX(#REF!,A260,1)&lt;&gt;"",ISBLANK(INDEX(#REF!,A260,1))),$B$146,"")</f>
        <v>#REF!</v>
      </c>
      <c r="Y260" s="113" t="e">
        <f>IF(AND(organisation_name="yes",INDEX(#REF!,A260,1)&lt;&gt;"",ISBLANK(INDEX(#REF!,A260,1))),$B$147,"")</f>
        <v>#REF!</v>
      </c>
      <c r="Z260" s="113" t="str">
        <f>IFERROR(IF(AND(INDEX(#REF!,A260)&gt;0,INDEX(salaries_academic[[category]:[1]],MATCH(INDEX(#REF!,A260),salaries_academic[category],0),3)&gt;0),$B$149,""),"")</f>
        <v/>
      </c>
    </row>
    <row r="261" spans="1:26" outlineLevel="1" x14ac:dyDescent="0.35">
      <c r="A261" s="113">
        <v>54</v>
      </c>
      <c r="B261" s="113" t="str">
        <f t="array" ref="B261">IFERROR(INDEX(personnel_ac_notes[[#This Row],[Exceeding nr months]:[Costs specified]],1,MATCH(TRUE,LEN(personnel_ac_notes[[#This Row],[Exceeding nr months]:[Costs specified]])&gt;0,0)),"")</f>
        <v/>
      </c>
      <c r="C261" s="113" t="str">
        <f>IFERROR(IF(INDEX(#REF!,A261)&gt;Max_project_duration,$B$128,""),"")</f>
        <v/>
      </c>
      <c r="D261" s="113" t="str">
        <f>IFERROR(IF(AND(LEN(INDEX(#REF!,A261))+LEN(INDEX(#REF!,A261))+LEN(INDEX(#REF!,A261))&gt;0,LEN(INDEX(#REF!,A261-1))+LEN(INDEX(#REF!,A261-1))+LEN(INDEX(#REF!,A261-1))=0),$B$127,""),"")</f>
        <v/>
      </c>
      <c r="E261" s="113" t="str">
        <f>IF(AND(NOT(ISBLANK(INDEX(#REF!,A261))),OR(ISBLANK(INDEX(#REF!,A261)),ISBLANK(INDEX(#REF!,A261)))),VLOOKUP(INDEX(#REF!,A261),salaries_academic[],2,FALSE),"")</f>
        <v/>
      </c>
      <c r="F261" s="113" t="str">
        <f>IFERROR(IF(COUNTIF(INDEX(#REF!,A261),"*- PhD*")&gt;0,IF(INDEX(#REF!,A261)*INDEX(#REF!,A261)&lt;pers_PhD_min_months,$B$129,""),""),"")</f>
        <v/>
      </c>
      <c r="G261" s="113" t="str">
        <f>IFERROR(IF(COUNTIF(INDEX(#REF!,$A261),"*- PhD*")&gt;0,IF(INDEX(#REF!,$A261)*INDEX(#REF!,$A261)&gt;pers_PhD_max_months,$B$130,""),""),"")</f>
        <v/>
      </c>
      <c r="H261" s="113" t="str">
        <f>IFERROR(IF(COUNTIF(INDEX(#REF!,A261),"*year*")&gt;0,IF(INDEX(#REF!,A261)*INDEX(#REF!,A261)&lt;pers_3yPhD_min_months,$B$131,""),""),"")</f>
        <v/>
      </c>
      <c r="I261" s="113" t="str">
        <f>IFERROR(IF(COUNTIF(INDEX(#REF!,A261),"*PDEng*")&gt;0,IF(OR(IFERROR(MATCH("*PhD*",#REF!,0),0)&gt;0,IFERROR(MATCH("*PostDoc*",#REF!,0),0)&gt;0),"",$B$132),""),"")</f>
        <v/>
      </c>
      <c r="J261" s="113" t="str">
        <f>IFERROR(IF(COUNTIF(INDEX(#REF!,A261),"*PDEng*")&gt;0,IF(INDEX(#REF!,A261)*INDEX(#REF!,A261)&gt;pers_PDEng_max_months,$B$133,""),""),"")</f>
        <v/>
      </c>
      <c r="K261" s="113" t="str">
        <f>IFERROR(IF(COUNTIF(INDEX(#REF!,A261),"*PostDoc*")&gt;0,IF(INDEX(#REF!,A261)*INDEX(#REF!,A261)&lt;pers_PD_min_months,$B$134,""),""),"")</f>
        <v/>
      </c>
      <c r="L261" s="113" t="str">
        <f>IFERROR(IF(COUNTIF(INDEX(#REF!,A261),"*PostDoc*")&gt;0,IF(INDEX(#REF!,A261)*INDEX(#REF!,A261)&gt;pers_PD_max_months,$B$135,""),""),"")</f>
        <v/>
      </c>
      <c r="M261" s="113" t="str">
        <f>IFERROR(IF(COUNTIF(INDEX(#REF!,A261),"*Non-scientific*")&gt;0,IF(OR(IFERROR(MATCH("*PhD*",#REF!,0),0)&gt;0,IFERROR(MATCH("*PostDoc*",#REF!,0),0)&gt;0),"",$B$136),""),"")</f>
        <v/>
      </c>
      <c r="N261" s="113" t="str">
        <f>IFERROR(IF(COUNTIF(INDEX(#REF!,A261),"*Non-scientific*")&gt;0,IF(Total_NSP&gt;pers_max_NSP,$B$137,""),""),"")</f>
        <v/>
      </c>
      <c r="O261" s="113" t="str">
        <f>IFERROR(IF(COUNTIF(INDEX(#REF!,A261),"*Non-scientific*")&gt;0,IF(INDEX(#REF!,A261)*INDEX(#REF!,A261)&lt;pers_NSP_min_months,$B$138,""),""),"")</f>
        <v/>
      </c>
      <c r="P261" s="113" t="str">
        <f>IFERROR(IF(COUNTIF(INDEX(#REF!,A261),"*Non-scientific*")&gt;0,IF(INDEX(#REF!,A261)*INDEX(#REF!,A261)&gt;pers_NSP_max_months,$B$139,""),""),"")</f>
        <v/>
      </c>
      <c r="Q261" s="113" t="str">
        <f>IFERROR(IF(COUNTIF(INDEX(#REF!,A261),"*Other scientific*")&gt;0,IF(OR(IFERROR(MATCH("*PhD*",#REF!,0),0)&gt;0,IFERROR(MATCH("*PostDoc*",#REF!,0),0)&gt;0),"",$B$140),""),"")</f>
        <v/>
      </c>
      <c r="R261" s="113" t="str">
        <f>IFERROR(IF(COUNTIF(INDEX(#REF!,A261),"*Other scientific*")&gt;0,IF(Total_OSP&gt;pers_max_OSP,$B$141,""),""),"")</f>
        <v/>
      </c>
      <c r="S261" s="113" t="str">
        <f>IFERROR(IF(COUNTIF(INDEX(#REF!,A261),"*Other scientific*")&gt;0,IF(INDEX(#REF!,A261)*INDEX(#REF!,A261)&lt;pers_OSP_min_months,$B$142,""),""),"")</f>
        <v/>
      </c>
      <c r="T261" s="113" t="str">
        <f>IFERROR(IF(COUNTIF(INDEX(#REF!,A261),"*Other scientific*")&gt;0,IF(INDEX(#REF!,A261)*INDEX(#REF!,A261)&gt;pers_OSP_max_months,$B$143,""),""),"")</f>
        <v/>
      </c>
      <c r="U261" s="113" t="str">
        <f>IFERROR(IF(COUNTIF(INDEX(#REF!,A261),"*leave*")&gt;0,IF(Total_Research_leave&gt;pers_leave_maxperc*Total_NWO_funding,$B$144,""),""),"")</f>
        <v/>
      </c>
      <c r="V261" s="113" t="str">
        <f>IFERROR(IF(COUNTIF(INDEX(#REF!,A261),"*leave*")&gt;0,IF(Research_leave_FTE_months&gt;pers_leave_maxduration,$B$145,""),""),"")</f>
        <v/>
      </c>
      <c r="W261" s="113" t="str">
        <f>IFERROR(IF(AND(INDEX(#REF!,A261)=0,INDEX(salaries_academic[[category]:[1]],MATCH(INDEX(#REF!,A261),salaries_academic[category],0),3)=0),$B$148,""),"")</f>
        <v/>
      </c>
      <c r="X261" s="113" t="e">
        <f>IF(AND(organisation_type="yes",INDEX(#REF!,A261,1)&lt;&gt;"",ISBLANK(INDEX(#REF!,A261,1))),$B$146,"")</f>
        <v>#REF!</v>
      </c>
      <c r="Y261" s="113" t="e">
        <f>IF(AND(organisation_name="yes",INDEX(#REF!,A261,1)&lt;&gt;"",ISBLANK(INDEX(#REF!,A261,1))),$B$147,"")</f>
        <v>#REF!</v>
      </c>
      <c r="Z261" s="113" t="str">
        <f>IFERROR(IF(AND(INDEX(#REF!,A261)&gt;0,INDEX(salaries_academic[[category]:[1]],MATCH(INDEX(#REF!,A261),salaries_academic[category],0),3)&gt;0),$B$149,""),"")</f>
        <v/>
      </c>
    </row>
    <row r="262" spans="1:26" outlineLevel="1" x14ac:dyDescent="0.35">
      <c r="A262" s="113">
        <v>55</v>
      </c>
      <c r="B262" s="113" t="str">
        <f t="array" ref="B262">IFERROR(INDEX(personnel_ac_notes[[#This Row],[Exceeding nr months]:[Costs specified]],1,MATCH(TRUE,LEN(personnel_ac_notes[[#This Row],[Exceeding nr months]:[Costs specified]])&gt;0,0)),"")</f>
        <v/>
      </c>
      <c r="C262" s="113" t="str">
        <f>IFERROR(IF(INDEX(#REF!,A262)&gt;Max_project_duration,$B$128,""),"")</f>
        <v/>
      </c>
      <c r="D262" s="113" t="str">
        <f>IFERROR(IF(AND(LEN(INDEX(#REF!,A262))+LEN(INDEX(#REF!,A262))+LEN(INDEX(#REF!,A262))&gt;0,LEN(INDEX(#REF!,A262-1))+LEN(INDEX(#REF!,A262-1))+LEN(INDEX(#REF!,A262-1))=0),$B$127,""),"")</f>
        <v/>
      </c>
      <c r="E262" s="113" t="str">
        <f>IF(AND(NOT(ISBLANK(INDEX(#REF!,A262))),OR(ISBLANK(INDEX(#REF!,A262)),ISBLANK(INDEX(#REF!,A262)))),VLOOKUP(INDEX(#REF!,A262),salaries_academic[],2,FALSE),"")</f>
        <v/>
      </c>
      <c r="F262" s="113" t="str">
        <f>IFERROR(IF(COUNTIF(INDEX(#REF!,A262),"*- PhD*")&gt;0,IF(INDEX(#REF!,A262)*INDEX(#REF!,A262)&lt;pers_PhD_min_months,$B$129,""),""),"")</f>
        <v/>
      </c>
      <c r="G262" s="113" t="str">
        <f>IFERROR(IF(COUNTIF(INDEX(#REF!,$A262),"*- PhD*")&gt;0,IF(INDEX(#REF!,$A262)*INDEX(#REF!,$A262)&gt;pers_PhD_max_months,$B$130,""),""),"")</f>
        <v/>
      </c>
      <c r="H262" s="113" t="str">
        <f>IFERROR(IF(COUNTIF(INDEX(#REF!,A262),"*year*")&gt;0,IF(INDEX(#REF!,A262)*INDEX(#REF!,A262)&lt;pers_3yPhD_min_months,$B$131,""),""),"")</f>
        <v/>
      </c>
      <c r="I262" s="113" t="str">
        <f>IFERROR(IF(COUNTIF(INDEX(#REF!,A262),"*PDEng*")&gt;0,IF(OR(IFERROR(MATCH("*PhD*",#REF!,0),0)&gt;0,IFERROR(MATCH("*PostDoc*",#REF!,0),0)&gt;0),"",$B$132),""),"")</f>
        <v/>
      </c>
      <c r="J262" s="113" t="str">
        <f>IFERROR(IF(COUNTIF(INDEX(#REF!,A262),"*PDEng*")&gt;0,IF(INDEX(#REF!,A262)*INDEX(#REF!,A262)&gt;pers_PDEng_max_months,$B$133,""),""),"")</f>
        <v/>
      </c>
      <c r="K262" s="113" t="str">
        <f>IFERROR(IF(COUNTIF(INDEX(#REF!,A262),"*PostDoc*")&gt;0,IF(INDEX(#REF!,A262)*INDEX(#REF!,A262)&lt;pers_PD_min_months,$B$134,""),""),"")</f>
        <v/>
      </c>
      <c r="L262" s="113" t="str">
        <f>IFERROR(IF(COUNTIF(INDEX(#REF!,A262),"*PostDoc*")&gt;0,IF(INDEX(#REF!,A262)*INDEX(#REF!,A262)&gt;pers_PD_max_months,$B$135,""),""),"")</f>
        <v/>
      </c>
      <c r="M262" s="113" t="str">
        <f>IFERROR(IF(COUNTIF(INDEX(#REF!,A262),"*Non-scientific*")&gt;0,IF(OR(IFERROR(MATCH("*PhD*",#REF!,0),0)&gt;0,IFERROR(MATCH("*PostDoc*",#REF!,0),0)&gt;0),"",$B$136),""),"")</f>
        <v/>
      </c>
      <c r="N262" s="113" t="str">
        <f>IFERROR(IF(COUNTIF(INDEX(#REF!,A262),"*Non-scientific*")&gt;0,IF(Total_NSP&gt;pers_max_NSP,$B$137,""),""),"")</f>
        <v/>
      </c>
      <c r="O262" s="113" t="str">
        <f>IFERROR(IF(COUNTIF(INDEX(#REF!,A262),"*Non-scientific*")&gt;0,IF(INDEX(#REF!,A262)*INDEX(#REF!,A262)&lt;pers_NSP_min_months,$B$138,""),""),"")</f>
        <v/>
      </c>
      <c r="P262" s="113" t="str">
        <f>IFERROR(IF(COUNTIF(INDEX(#REF!,A262),"*Non-scientific*")&gt;0,IF(INDEX(#REF!,A262)*INDEX(#REF!,A262)&gt;pers_NSP_max_months,$B$139,""),""),"")</f>
        <v/>
      </c>
      <c r="Q262" s="113" t="str">
        <f>IFERROR(IF(COUNTIF(INDEX(#REF!,A262),"*Other scientific*")&gt;0,IF(OR(IFERROR(MATCH("*PhD*",#REF!,0),0)&gt;0,IFERROR(MATCH("*PostDoc*",#REF!,0),0)&gt;0),"",$B$140),""),"")</f>
        <v/>
      </c>
      <c r="R262" s="113" t="str">
        <f>IFERROR(IF(COUNTIF(INDEX(#REF!,A262),"*Other scientific*")&gt;0,IF(Total_OSP&gt;pers_max_OSP,$B$141,""),""),"")</f>
        <v/>
      </c>
      <c r="S262" s="113" t="str">
        <f>IFERROR(IF(COUNTIF(INDEX(#REF!,A262),"*Other scientific*")&gt;0,IF(INDEX(#REF!,A262)*INDEX(#REF!,A262)&lt;pers_OSP_min_months,$B$142,""),""),"")</f>
        <v/>
      </c>
      <c r="T262" s="113" t="str">
        <f>IFERROR(IF(COUNTIF(INDEX(#REF!,A262),"*Other scientific*")&gt;0,IF(INDEX(#REF!,A262)*INDEX(#REF!,A262)&gt;pers_OSP_max_months,$B$143,""),""),"")</f>
        <v/>
      </c>
      <c r="U262" s="113" t="str">
        <f>IFERROR(IF(COUNTIF(INDEX(#REF!,A262),"*leave*")&gt;0,IF(Total_Research_leave&gt;pers_leave_maxperc*Total_NWO_funding,$B$144,""),""),"")</f>
        <v/>
      </c>
      <c r="V262" s="113" t="str">
        <f>IFERROR(IF(COUNTIF(INDEX(#REF!,A262),"*leave*")&gt;0,IF(Research_leave_FTE_months&gt;pers_leave_maxduration,$B$145,""),""),"")</f>
        <v/>
      </c>
      <c r="W262" s="113" t="str">
        <f>IFERROR(IF(AND(INDEX(#REF!,A262)=0,INDEX(salaries_academic[[category]:[1]],MATCH(INDEX(#REF!,A262),salaries_academic[category],0),3)=0),$B$148,""),"")</f>
        <v/>
      </c>
      <c r="X262" s="113" t="e">
        <f>IF(AND(organisation_type="yes",INDEX(#REF!,A262,1)&lt;&gt;"",ISBLANK(INDEX(#REF!,A262,1))),$B$146,"")</f>
        <v>#REF!</v>
      </c>
      <c r="Y262" s="113" t="e">
        <f>IF(AND(organisation_name="yes",INDEX(#REF!,A262,1)&lt;&gt;"",ISBLANK(INDEX(#REF!,A262,1))),$B$147,"")</f>
        <v>#REF!</v>
      </c>
      <c r="Z262" s="113" t="str">
        <f>IFERROR(IF(AND(INDEX(#REF!,A262)&gt;0,INDEX(salaries_academic[[category]:[1]],MATCH(INDEX(#REF!,A262),salaries_academic[category],0),3)&gt;0),$B$149,""),"")</f>
        <v/>
      </c>
    </row>
    <row r="263" spans="1:26" outlineLevel="1" x14ac:dyDescent="0.35">
      <c r="A263" s="113">
        <v>56</v>
      </c>
      <c r="B263" s="113" t="str">
        <f t="array" ref="B263">IFERROR(INDEX(personnel_ac_notes[[#This Row],[Exceeding nr months]:[Costs specified]],1,MATCH(TRUE,LEN(personnel_ac_notes[[#This Row],[Exceeding nr months]:[Costs specified]])&gt;0,0)),"")</f>
        <v/>
      </c>
      <c r="C263" s="113" t="str">
        <f>IFERROR(IF(INDEX(#REF!,A263)&gt;Max_project_duration,$B$128,""),"")</f>
        <v/>
      </c>
      <c r="D263" s="113" t="str">
        <f>IFERROR(IF(AND(LEN(INDEX(#REF!,A263))+LEN(INDEX(#REF!,A263))+LEN(INDEX(#REF!,A263))&gt;0,LEN(INDEX(#REF!,A263-1))+LEN(INDEX(#REF!,A263-1))+LEN(INDEX(#REF!,A263-1))=0),$B$127,""),"")</f>
        <v/>
      </c>
      <c r="E263" s="113" t="str">
        <f>IF(AND(NOT(ISBLANK(INDEX(#REF!,A263))),OR(ISBLANK(INDEX(#REF!,A263)),ISBLANK(INDEX(#REF!,A263)))),VLOOKUP(INDEX(#REF!,A263),salaries_academic[],2,FALSE),"")</f>
        <v/>
      </c>
      <c r="F263" s="113" t="str">
        <f>IFERROR(IF(COUNTIF(INDEX(#REF!,A263),"*- PhD*")&gt;0,IF(INDEX(#REF!,A263)*INDEX(#REF!,A263)&lt;pers_PhD_min_months,$B$129,""),""),"")</f>
        <v/>
      </c>
      <c r="G263" s="113" t="str">
        <f>IFERROR(IF(COUNTIF(INDEX(#REF!,$A263),"*- PhD*")&gt;0,IF(INDEX(#REF!,$A263)*INDEX(#REF!,$A263)&gt;pers_PhD_max_months,$B$130,""),""),"")</f>
        <v/>
      </c>
      <c r="H263" s="113" t="str">
        <f>IFERROR(IF(COUNTIF(INDEX(#REF!,A263),"*year*")&gt;0,IF(INDEX(#REF!,A263)*INDEX(#REF!,A263)&lt;pers_3yPhD_min_months,$B$131,""),""),"")</f>
        <v/>
      </c>
      <c r="I263" s="113" t="str">
        <f>IFERROR(IF(COUNTIF(INDEX(#REF!,A263),"*PDEng*")&gt;0,IF(OR(IFERROR(MATCH("*PhD*",#REF!,0),0)&gt;0,IFERROR(MATCH("*PostDoc*",#REF!,0),0)&gt;0),"",$B$132),""),"")</f>
        <v/>
      </c>
      <c r="J263" s="113" t="str">
        <f>IFERROR(IF(COUNTIF(INDEX(#REF!,A263),"*PDEng*")&gt;0,IF(INDEX(#REF!,A263)*INDEX(#REF!,A263)&gt;pers_PDEng_max_months,$B$133,""),""),"")</f>
        <v/>
      </c>
      <c r="K263" s="113" t="str">
        <f>IFERROR(IF(COUNTIF(INDEX(#REF!,A263),"*PostDoc*")&gt;0,IF(INDEX(#REF!,A263)*INDEX(#REF!,A263)&lt;pers_PD_min_months,$B$134,""),""),"")</f>
        <v/>
      </c>
      <c r="L263" s="113" t="str">
        <f>IFERROR(IF(COUNTIF(INDEX(#REF!,A263),"*PostDoc*")&gt;0,IF(INDEX(#REF!,A263)*INDEX(#REF!,A263)&gt;pers_PD_max_months,$B$135,""),""),"")</f>
        <v/>
      </c>
      <c r="M263" s="113" t="str">
        <f>IFERROR(IF(COUNTIF(INDEX(#REF!,A263),"*Non-scientific*")&gt;0,IF(OR(IFERROR(MATCH("*PhD*",#REF!,0),0)&gt;0,IFERROR(MATCH("*PostDoc*",#REF!,0),0)&gt;0),"",$B$136),""),"")</f>
        <v/>
      </c>
      <c r="N263" s="113" t="str">
        <f>IFERROR(IF(COUNTIF(INDEX(#REF!,A263),"*Non-scientific*")&gt;0,IF(Total_NSP&gt;pers_max_NSP,$B$137,""),""),"")</f>
        <v/>
      </c>
      <c r="O263" s="113" t="str">
        <f>IFERROR(IF(COUNTIF(INDEX(#REF!,A263),"*Non-scientific*")&gt;0,IF(INDEX(#REF!,A263)*INDEX(#REF!,A263)&lt;pers_NSP_min_months,$B$138,""),""),"")</f>
        <v/>
      </c>
      <c r="P263" s="113" t="str">
        <f>IFERROR(IF(COUNTIF(INDEX(#REF!,A263),"*Non-scientific*")&gt;0,IF(INDEX(#REF!,A263)*INDEX(#REF!,A263)&gt;pers_NSP_max_months,$B$139,""),""),"")</f>
        <v/>
      </c>
      <c r="Q263" s="113" t="str">
        <f>IFERROR(IF(COUNTIF(INDEX(#REF!,A263),"*Other scientific*")&gt;0,IF(OR(IFERROR(MATCH("*PhD*",#REF!,0),0)&gt;0,IFERROR(MATCH("*PostDoc*",#REF!,0),0)&gt;0),"",$B$140),""),"")</f>
        <v/>
      </c>
      <c r="R263" s="113" t="str">
        <f>IFERROR(IF(COUNTIF(INDEX(#REF!,A263),"*Other scientific*")&gt;0,IF(Total_OSP&gt;pers_max_OSP,$B$141,""),""),"")</f>
        <v/>
      </c>
      <c r="S263" s="113" t="str">
        <f>IFERROR(IF(COUNTIF(INDEX(#REF!,A263),"*Other scientific*")&gt;0,IF(INDEX(#REF!,A263)*INDEX(#REF!,A263)&lt;pers_OSP_min_months,$B$142,""),""),"")</f>
        <v/>
      </c>
      <c r="T263" s="113" t="str">
        <f>IFERROR(IF(COUNTIF(INDEX(#REF!,A263),"*Other scientific*")&gt;0,IF(INDEX(#REF!,A263)*INDEX(#REF!,A263)&gt;pers_OSP_max_months,$B$143,""),""),"")</f>
        <v/>
      </c>
      <c r="U263" s="113" t="str">
        <f>IFERROR(IF(COUNTIF(INDEX(#REF!,A263),"*leave*")&gt;0,IF(Total_Research_leave&gt;pers_leave_maxperc*Total_NWO_funding,$B$144,""),""),"")</f>
        <v/>
      </c>
      <c r="V263" s="113" t="str">
        <f>IFERROR(IF(COUNTIF(INDEX(#REF!,A263),"*leave*")&gt;0,IF(Research_leave_FTE_months&gt;pers_leave_maxduration,$B$145,""),""),"")</f>
        <v/>
      </c>
      <c r="W263" s="113" t="str">
        <f>IFERROR(IF(AND(INDEX(#REF!,A263)=0,INDEX(salaries_academic[[category]:[1]],MATCH(INDEX(#REF!,A263),salaries_academic[category],0),3)=0),$B$148,""),"")</f>
        <v/>
      </c>
      <c r="X263" s="113" t="e">
        <f>IF(AND(organisation_type="yes",INDEX(#REF!,A263,1)&lt;&gt;"",ISBLANK(INDEX(#REF!,A263,1))),$B$146,"")</f>
        <v>#REF!</v>
      </c>
      <c r="Y263" s="113" t="e">
        <f>IF(AND(organisation_name="yes",INDEX(#REF!,A263,1)&lt;&gt;"",ISBLANK(INDEX(#REF!,A263,1))),$B$147,"")</f>
        <v>#REF!</v>
      </c>
      <c r="Z263" s="113" t="str">
        <f>IFERROR(IF(AND(INDEX(#REF!,A263)&gt;0,INDEX(salaries_academic[[category]:[1]],MATCH(INDEX(#REF!,A263),salaries_academic[category],0),3)&gt;0),$B$149,""),"")</f>
        <v/>
      </c>
    </row>
    <row r="264" spans="1:26" outlineLevel="1" x14ac:dyDescent="0.35">
      <c r="A264" s="113">
        <v>57</v>
      </c>
      <c r="B264" s="113" t="str">
        <f t="array" ref="B264">IFERROR(INDEX(personnel_ac_notes[[#This Row],[Exceeding nr months]:[Costs specified]],1,MATCH(TRUE,LEN(personnel_ac_notes[[#This Row],[Exceeding nr months]:[Costs specified]])&gt;0,0)),"")</f>
        <v/>
      </c>
      <c r="C264" s="113" t="str">
        <f>IFERROR(IF(INDEX(#REF!,A264)&gt;Max_project_duration,$B$128,""),"")</f>
        <v/>
      </c>
      <c r="D264" s="113" t="str">
        <f>IFERROR(IF(AND(LEN(INDEX(#REF!,A264))+LEN(INDEX(#REF!,A264))+LEN(INDEX(#REF!,A264))&gt;0,LEN(INDEX(#REF!,A264-1))+LEN(INDEX(#REF!,A264-1))+LEN(INDEX(#REF!,A264-1))=0),$B$127,""),"")</f>
        <v/>
      </c>
      <c r="E264" s="113" t="str">
        <f>IF(AND(NOT(ISBLANK(INDEX(#REF!,A264))),OR(ISBLANK(INDEX(#REF!,A264)),ISBLANK(INDEX(#REF!,A264)))),VLOOKUP(INDEX(#REF!,A264),salaries_academic[],2,FALSE),"")</f>
        <v/>
      </c>
      <c r="F264" s="113" t="str">
        <f>IFERROR(IF(COUNTIF(INDEX(#REF!,A264),"*- PhD*")&gt;0,IF(INDEX(#REF!,A264)*INDEX(#REF!,A264)&lt;pers_PhD_min_months,$B$129,""),""),"")</f>
        <v/>
      </c>
      <c r="G264" s="113" t="str">
        <f>IFERROR(IF(COUNTIF(INDEX(#REF!,$A264),"*- PhD*")&gt;0,IF(INDEX(#REF!,$A264)*INDEX(#REF!,$A264)&gt;pers_PhD_max_months,$B$130,""),""),"")</f>
        <v/>
      </c>
      <c r="H264" s="113" t="str">
        <f>IFERROR(IF(COUNTIF(INDEX(#REF!,A264),"*year*")&gt;0,IF(INDEX(#REF!,A264)*INDEX(#REF!,A264)&lt;pers_3yPhD_min_months,$B$131,""),""),"")</f>
        <v/>
      </c>
      <c r="I264" s="113" t="str">
        <f>IFERROR(IF(COUNTIF(INDEX(#REF!,A264),"*PDEng*")&gt;0,IF(OR(IFERROR(MATCH("*PhD*",#REF!,0),0)&gt;0,IFERROR(MATCH("*PostDoc*",#REF!,0),0)&gt;0),"",$B$132),""),"")</f>
        <v/>
      </c>
      <c r="J264" s="113" t="str">
        <f>IFERROR(IF(COUNTIF(INDEX(#REF!,A264),"*PDEng*")&gt;0,IF(INDEX(#REF!,A264)*INDEX(#REF!,A264)&gt;pers_PDEng_max_months,$B$133,""),""),"")</f>
        <v/>
      </c>
      <c r="K264" s="113" t="str">
        <f>IFERROR(IF(COUNTIF(INDEX(#REF!,A264),"*PostDoc*")&gt;0,IF(INDEX(#REF!,A264)*INDEX(#REF!,A264)&lt;pers_PD_min_months,$B$134,""),""),"")</f>
        <v/>
      </c>
      <c r="L264" s="113" t="str">
        <f>IFERROR(IF(COUNTIF(INDEX(#REF!,A264),"*PostDoc*")&gt;0,IF(INDEX(#REF!,A264)*INDEX(#REF!,A264)&gt;pers_PD_max_months,$B$135,""),""),"")</f>
        <v/>
      </c>
      <c r="M264" s="113" t="str">
        <f>IFERROR(IF(COUNTIF(INDEX(#REF!,A264),"*Non-scientific*")&gt;0,IF(OR(IFERROR(MATCH("*PhD*",#REF!,0),0)&gt;0,IFERROR(MATCH("*PostDoc*",#REF!,0),0)&gt;0),"",$B$136),""),"")</f>
        <v/>
      </c>
      <c r="N264" s="113" t="str">
        <f>IFERROR(IF(COUNTIF(INDEX(#REF!,A264),"*Non-scientific*")&gt;0,IF(Total_NSP&gt;pers_max_NSP,$B$137,""),""),"")</f>
        <v/>
      </c>
      <c r="O264" s="113" t="str">
        <f>IFERROR(IF(COUNTIF(INDEX(#REF!,A264),"*Non-scientific*")&gt;0,IF(INDEX(#REF!,A264)*INDEX(#REF!,A264)&lt;pers_NSP_min_months,$B$138,""),""),"")</f>
        <v/>
      </c>
      <c r="P264" s="113" t="str">
        <f>IFERROR(IF(COUNTIF(INDEX(#REF!,A264),"*Non-scientific*")&gt;0,IF(INDEX(#REF!,A264)*INDEX(#REF!,A264)&gt;pers_NSP_max_months,$B$139,""),""),"")</f>
        <v/>
      </c>
      <c r="Q264" s="113" t="str">
        <f>IFERROR(IF(COUNTIF(INDEX(#REF!,A264),"*Other scientific*")&gt;0,IF(OR(IFERROR(MATCH("*PhD*",#REF!,0),0)&gt;0,IFERROR(MATCH("*PostDoc*",#REF!,0),0)&gt;0),"",$B$140),""),"")</f>
        <v/>
      </c>
      <c r="R264" s="113" t="str">
        <f>IFERROR(IF(COUNTIF(INDEX(#REF!,A264),"*Other scientific*")&gt;0,IF(Total_OSP&gt;pers_max_OSP,$B$141,""),""),"")</f>
        <v/>
      </c>
      <c r="S264" s="113" t="str">
        <f>IFERROR(IF(COUNTIF(INDEX(#REF!,A264),"*Other scientific*")&gt;0,IF(INDEX(#REF!,A264)*INDEX(#REF!,A264)&lt;pers_OSP_min_months,$B$142,""),""),"")</f>
        <v/>
      </c>
      <c r="T264" s="113" t="str">
        <f>IFERROR(IF(COUNTIF(INDEX(#REF!,A264),"*Other scientific*")&gt;0,IF(INDEX(#REF!,A264)*INDEX(#REF!,A264)&gt;pers_OSP_max_months,$B$143,""),""),"")</f>
        <v/>
      </c>
      <c r="U264" s="113" t="str">
        <f>IFERROR(IF(COUNTIF(INDEX(#REF!,A264),"*leave*")&gt;0,IF(Total_Research_leave&gt;pers_leave_maxperc*Total_NWO_funding,$B$144,""),""),"")</f>
        <v/>
      </c>
      <c r="V264" s="113" t="str">
        <f>IFERROR(IF(COUNTIF(INDEX(#REF!,A264),"*leave*")&gt;0,IF(Research_leave_FTE_months&gt;pers_leave_maxduration,$B$145,""),""),"")</f>
        <v/>
      </c>
      <c r="W264" s="113" t="str">
        <f>IFERROR(IF(AND(INDEX(#REF!,A264)=0,INDEX(salaries_academic[[category]:[1]],MATCH(INDEX(#REF!,A264),salaries_academic[category],0),3)=0),$B$148,""),"")</f>
        <v/>
      </c>
      <c r="X264" s="113" t="e">
        <f>IF(AND(organisation_type="yes",INDEX(#REF!,A264,1)&lt;&gt;"",ISBLANK(INDEX(#REF!,A264,1))),$B$146,"")</f>
        <v>#REF!</v>
      </c>
      <c r="Y264" s="113" t="e">
        <f>IF(AND(organisation_name="yes",INDEX(#REF!,A264,1)&lt;&gt;"",ISBLANK(INDEX(#REF!,A264,1))),$B$147,"")</f>
        <v>#REF!</v>
      </c>
      <c r="Z264" s="113" t="str">
        <f>IFERROR(IF(AND(INDEX(#REF!,A264)&gt;0,INDEX(salaries_academic[[category]:[1]],MATCH(INDEX(#REF!,A264),salaries_academic[category],0),3)&gt;0),$B$149,""),"")</f>
        <v/>
      </c>
    </row>
    <row r="265" spans="1:26" outlineLevel="1" x14ac:dyDescent="0.35">
      <c r="A265" s="113">
        <v>58</v>
      </c>
      <c r="B265" s="113" t="str">
        <f t="array" ref="B265">IFERROR(INDEX(personnel_ac_notes[[#This Row],[Exceeding nr months]:[Costs specified]],1,MATCH(TRUE,LEN(personnel_ac_notes[[#This Row],[Exceeding nr months]:[Costs specified]])&gt;0,0)),"")</f>
        <v/>
      </c>
      <c r="C265" s="113" t="str">
        <f>IFERROR(IF(INDEX(#REF!,A265)&gt;Max_project_duration,$B$128,""),"")</f>
        <v/>
      </c>
      <c r="D265" s="113" t="str">
        <f>IFERROR(IF(AND(LEN(INDEX(#REF!,A265))+LEN(INDEX(#REF!,A265))+LEN(INDEX(#REF!,A265))&gt;0,LEN(INDEX(#REF!,A265-1))+LEN(INDEX(#REF!,A265-1))+LEN(INDEX(#REF!,A265-1))=0),$B$127,""),"")</f>
        <v/>
      </c>
      <c r="E265" s="113" t="str">
        <f>IF(AND(NOT(ISBLANK(INDEX(#REF!,A265))),OR(ISBLANK(INDEX(#REF!,A265)),ISBLANK(INDEX(#REF!,A265)))),VLOOKUP(INDEX(#REF!,A265),salaries_academic[],2,FALSE),"")</f>
        <v/>
      </c>
      <c r="F265" s="113" t="str">
        <f>IFERROR(IF(COUNTIF(INDEX(#REF!,A265),"*- PhD*")&gt;0,IF(INDEX(#REF!,A265)*INDEX(#REF!,A265)&lt;pers_PhD_min_months,$B$129,""),""),"")</f>
        <v/>
      </c>
      <c r="G265" s="113" t="str">
        <f>IFERROR(IF(COUNTIF(INDEX(#REF!,$A265),"*- PhD*")&gt;0,IF(INDEX(#REF!,$A265)*INDEX(#REF!,$A265)&gt;pers_PhD_max_months,$B$130,""),""),"")</f>
        <v/>
      </c>
      <c r="H265" s="113" t="str">
        <f>IFERROR(IF(COUNTIF(INDEX(#REF!,A265),"*year*")&gt;0,IF(INDEX(#REF!,A265)*INDEX(#REF!,A265)&lt;pers_3yPhD_min_months,$B$131,""),""),"")</f>
        <v/>
      </c>
      <c r="I265" s="113" t="str">
        <f>IFERROR(IF(COUNTIF(INDEX(#REF!,A265),"*PDEng*")&gt;0,IF(OR(IFERROR(MATCH("*PhD*",#REF!,0),0)&gt;0,IFERROR(MATCH("*PostDoc*",#REF!,0),0)&gt;0),"",$B$132),""),"")</f>
        <v/>
      </c>
      <c r="J265" s="113" t="str">
        <f>IFERROR(IF(COUNTIF(INDEX(#REF!,A265),"*PDEng*")&gt;0,IF(INDEX(#REF!,A265)*INDEX(#REF!,A265)&gt;pers_PDEng_max_months,$B$133,""),""),"")</f>
        <v/>
      </c>
      <c r="K265" s="113" t="str">
        <f>IFERROR(IF(COUNTIF(INDEX(#REF!,A265),"*PostDoc*")&gt;0,IF(INDEX(#REF!,A265)*INDEX(#REF!,A265)&lt;pers_PD_min_months,$B$134,""),""),"")</f>
        <v/>
      </c>
      <c r="L265" s="113" t="str">
        <f>IFERROR(IF(COUNTIF(INDEX(#REF!,A265),"*PostDoc*")&gt;0,IF(INDEX(#REF!,A265)*INDEX(#REF!,A265)&gt;pers_PD_max_months,$B$135,""),""),"")</f>
        <v/>
      </c>
      <c r="M265" s="113" t="str">
        <f>IFERROR(IF(COUNTIF(INDEX(#REF!,A265),"*Non-scientific*")&gt;0,IF(OR(IFERROR(MATCH("*PhD*",#REF!,0),0)&gt;0,IFERROR(MATCH("*PostDoc*",#REF!,0),0)&gt;0),"",$B$136),""),"")</f>
        <v/>
      </c>
      <c r="N265" s="113" t="str">
        <f>IFERROR(IF(COUNTIF(INDEX(#REF!,A265),"*Non-scientific*")&gt;0,IF(Total_NSP&gt;pers_max_NSP,$B$137,""),""),"")</f>
        <v/>
      </c>
      <c r="O265" s="113" t="str">
        <f>IFERROR(IF(COUNTIF(INDEX(#REF!,A265),"*Non-scientific*")&gt;0,IF(INDEX(#REF!,A265)*INDEX(#REF!,A265)&lt;pers_NSP_min_months,$B$138,""),""),"")</f>
        <v/>
      </c>
      <c r="P265" s="113" t="str">
        <f>IFERROR(IF(COUNTIF(INDEX(#REF!,A265),"*Non-scientific*")&gt;0,IF(INDEX(#REF!,A265)*INDEX(#REF!,A265)&gt;pers_NSP_max_months,$B$139,""),""),"")</f>
        <v/>
      </c>
      <c r="Q265" s="113" t="str">
        <f>IFERROR(IF(COUNTIF(INDEX(#REF!,A265),"*Other scientific*")&gt;0,IF(OR(IFERROR(MATCH("*PhD*",#REF!,0),0)&gt;0,IFERROR(MATCH("*PostDoc*",#REF!,0),0)&gt;0),"",$B$140),""),"")</f>
        <v/>
      </c>
      <c r="R265" s="113" t="str">
        <f>IFERROR(IF(COUNTIF(INDEX(#REF!,A265),"*Other scientific*")&gt;0,IF(Total_OSP&gt;pers_max_OSP,$B$141,""),""),"")</f>
        <v/>
      </c>
      <c r="S265" s="113" t="str">
        <f>IFERROR(IF(COUNTIF(INDEX(#REF!,A265),"*Other scientific*")&gt;0,IF(INDEX(#REF!,A265)*INDEX(#REF!,A265)&lt;pers_OSP_min_months,$B$142,""),""),"")</f>
        <v/>
      </c>
      <c r="T265" s="113" t="str">
        <f>IFERROR(IF(COUNTIF(INDEX(#REF!,A265),"*Other scientific*")&gt;0,IF(INDEX(#REF!,A265)*INDEX(#REF!,A265)&gt;pers_OSP_max_months,$B$143,""),""),"")</f>
        <v/>
      </c>
      <c r="U265" s="113" t="str">
        <f>IFERROR(IF(COUNTIF(INDEX(#REF!,A265),"*leave*")&gt;0,IF(Total_Research_leave&gt;pers_leave_maxperc*Total_NWO_funding,$B$144,""),""),"")</f>
        <v/>
      </c>
      <c r="V265" s="113" t="str">
        <f>IFERROR(IF(COUNTIF(INDEX(#REF!,A265),"*leave*")&gt;0,IF(Research_leave_FTE_months&gt;pers_leave_maxduration,$B$145,""),""),"")</f>
        <v/>
      </c>
      <c r="W265" s="113" t="str">
        <f>IFERROR(IF(AND(INDEX(#REF!,A265)=0,INDEX(salaries_academic[[category]:[1]],MATCH(INDEX(#REF!,A265),salaries_academic[category],0),3)=0),$B$148,""),"")</f>
        <v/>
      </c>
      <c r="X265" s="113" t="e">
        <f>IF(AND(organisation_type="yes",INDEX(#REF!,A265,1)&lt;&gt;"",ISBLANK(INDEX(#REF!,A265,1))),$B$146,"")</f>
        <v>#REF!</v>
      </c>
      <c r="Y265" s="113" t="e">
        <f>IF(AND(organisation_name="yes",INDEX(#REF!,A265,1)&lt;&gt;"",ISBLANK(INDEX(#REF!,A265,1))),$B$147,"")</f>
        <v>#REF!</v>
      </c>
      <c r="Z265" s="113" t="str">
        <f>IFERROR(IF(AND(INDEX(#REF!,A265)&gt;0,INDEX(salaries_academic[[category]:[1]],MATCH(INDEX(#REF!,A265),salaries_academic[category],0),3)&gt;0),$B$149,""),"")</f>
        <v/>
      </c>
    </row>
    <row r="266" spans="1:26" outlineLevel="1" x14ac:dyDescent="0.35">
      <c r="A266" s="113">
        <v>59</v>
      </c>
      <c r="B266" s="113" t="str">
        <f t="array" ref="B266">IFERROR(INDEX(personnel_ac_notes[[#This Row],[Exceeding nr months]:[Costs specified]],1,MATCH(TRUE,LEN(personnel_ac_notes[[#This Row],[Exceeding nr months]:[Costs specified]])&gt;0,0)),"")</f>
        <v/>
      </c>
      <c r="C266" s="113" t="str">
        <f>IFERROR(IF(INDEX(#REF!,A266)&gt;Max_project_duration,$B$128,""),"")</f>
        <v/>
      </c>
      <c r="D266" s="113" t="str">
        <f>IFERROR(IF(AND(LEN(INDEX(#REF!,A266))+LEN(INDEX(#REF!,A266))+LEN(INDEX(#REF!,A266))&gt;0,LEN(INDEX(#REF!,A266-1))+LEN(INDEX(#REF!,A266-1))+LEN(INDEX(#REF!,A266-1))=0),$B$127,""),"")</f>
        <v/>
      </c>
      <c r="E266" s="113" t="str">
        <f>IF(AND(NOT(ISBLANK(INDEX(#REF!,A266))),OR(ISBLANK(INDEX(#REF!,A266)),ISBLANK(INDEX(#REF!,A266)))),VLOOKUP(INDEX(#REF!,A266),salaries_academic[],2,FALSE),"")</f>
        <v/>
      </c>
      <c r="F266" s="113" t="str">
        <f>IFERROR(IF(COUNTIF(INDEX(#REF!,A266),"*- PhD*")&gt;0,IF(INDEX(#REF!,A266)*INDEX(#REF!,A266)&lt;pers_PhD_min_months,$B$129,""),""),"")</f>
        <v/>
      </c>
      <c r="G266" s="113" t="str">
        <f>IFERROR(IF(COUNTIF(INDEX(#REF!,$A266),"*- PhD*")&gt;0,IF(INDEX(#REF!,$A266)*INDEX(#REF!,$A266)&gt;pers_PhD_max_months,$B$130,""),""),"")</f>
        <v/>
      </c>
      <c r="H266" s="113" t="str">
        <f>IFERROR(IF(COUNTIF(INDEX(#REF!,A266),"*year*")&gt;0,IF(INDEX(#REF!,A266)*INDEX(#REF!,A266)&lt;pers_3yPhD_min_months,$B$131,""),""),"")</f>
        <v/>
      </c>
      <c r="I266" s="113" t="str">
        <f>IFERROR(IF(COUNTIF(INDEX(#REF!,A266),"*PDEng*")&gt;0,IF(OR(IFERROR(MATCH("*PhD*",#REF!,0),0)&gt;0,IFERROR(MATCH("*PostDoc*",#REF!,0),0)&gt;0),"",$B$132),""),"")</f>
        <v/>
      </c>
      <c r="J266" s="113" t="str">
        <f>IFERROR(IF(COUNTIF(INDEX(#REF!,A266),"*PDEng*")&gt;0,IF(INDEX(#REF!,A266)*INDEX(#REF!,A266)&gt;pers_PDEng_max_months,$B$133,""),""),"")</f>
        <v/>
      </c>
      <c r="K266" s="113" t="str">
        <f>IFERROR(IF(COUNTIF(INDEX(#REF!,A266),"*PostDoc*")&gt;0,IF(INDEX(#REF!,A266)*INDEX(#REF!,A266)&lt;pers_PD_min_months,$B$134,""),""),"")</f>
        <v/>
      </c>
      <c r="L266" s="113" t="str">
        <f>IFERROR(IF(COUNTIF(INDEX(#REF!,A266),"*PostDoc*")&gt;0,IF(INDEX(#REF!,A266)*INDEX(#REF!,A266)&gt;pers_PD_max_months,$B$135,""),""),"")</f>
        <v/>
      </c>
      <c r="M266" s="113" t="str">
        <f>IFERROR(IF(COUNTIF(INDEX(#REF!,A266),"*Non-scientific*")&gt;0,IF(OR(IFERROR(MATCH("*PhD*",#REF!,0),0)&gt;0,IFERROR(MATCH("*PostDoc*",#REF!,0),0)&gt;0),"",$B$136),""),"")</f>
        <v/>
      </c>
      <c r="N266" s="113" t="str">
        <f>IFERROR(IF(COUNTIF(INDEX(#REF!,A266),"*Non-scientific*")&gt;0,IF(Total_NSP&gt;pers_max_NSP,$B$137,""),""),"")</f>
        <v/>
      </c>
      <c r="O266" s="113" t="str">
        <f>IFERROR(IF(COUNTIF(INDEX(#REF!,A266),"*Non-scientific*")&gt;0,IF(INDEX(#REF!,A266)*INDEX(#REF!,A266)&lt;pers_NSP_min_months,$B$138,""),""),"")</f>
        <v/>
      </c>
      <c r="P266" s="113" t="str">
        <f>IFERROR(IF(COUNTIF(INDEX(#REF!,A266),"*Non-scientific*")&gt;0,IF(INDEX(#REF!,A266)*INDEX(#REF!,A266)&gt;pers_NSP_max_months,$B$139,""),""),"")</f>
        <v/>
      </c>
      <c r="Q266" s="113" t="str">
        <f>IFERROR(IF(COUNTIF(INDEX(#REF!,A266),"*Other scientific*")&gt;0,IF(OR(IFERROR(MATCH("*PhD*",#REF!,0),0)&gt;0,IFERROR(MATCH("*PostDoc*",#REF!,0),0)&gt;0),"",$B$140),""),"")</f>
        <v/>
      </c>
      <c r="R266" s="113" t="str">
        <f>IFERROR(IF(COUNTIF(INDEX(#REF!,A266),"*Other scientific*")&gt;0,IF(Total_OSP&gt;pers_max_OSP,$B$141,""),""),"")</f>
        <v/>
      </c>
      <c r="S266" s="113" t="str">
        <f>IFERROR(IF(COUNTIF(INDEX(#REF!,A266),"*Other scientific*")&gt;0,IF(INDEX(#REF!,A266)*INDEX(#REF!,A266)&lt;pers_OSP_min_months,$B$142,""),""),"")</f>
        <v/>
      </c>
      <c r="T266" s="113" t="str">
        <f>IFERROR(IF(COUNTIF(INDEX(#REF!,A266),"*Other scientific*")&gt;0,IF(INDEX(#REF!,A266)*INDEX(#REF!,A266)&gt;pers_OSP_max_months,$B$143,""),""),"")</f>
        <v/>
      </c>
      <c r="U266" s="113" t="str">
        <f>IFERROR(IF(COUNTIF(INDEX(#REF!,A266),"*leave*")&gt;0,IF(Total_Research_leave&gt;pers_leave_maxperc*Total_NWO_funding,$B$144,""),""),"")</f>
        <v/>
      </c>
      <c r="V266" s="113" t="str">
        <f>IFERROR(IF(COUNTIF(INDEX(#REF!,A266),"*leave*")&gt;0,IF(Research_leave_FTE_months&gt;pers_leave_maxduration,$B$145,""),""),"")</f>
        <v/>
      </c>
      <c r="W266" s="113" t="str">
        <f>IFERROR(IF(AND(INDEX(#REF!,A266)=0,INDEX(salaries_academic[[category]:[1]],MATCH(INDEX(#REF!,A266),salaries_academic[category],0),3)=0),$B$148,""),"")</f>
        <v/>
      </c>
      <c r="X266" s="113" t="e">
        <f>IF(AND(organisation_type="yes",INDEX(#REF!,A266,1)&lt;&gt;"",ISBLANK(INDEX(#REF!,A266,1))),$B$146,"")</f>
        <v>#REF!</v>
      </c>
      <c r="Y266" s="113" t="e">
        <f>IF(AND(organisation_name="yes",INDEX(#REF!,A266,1)&lt;&gt;"",ISBLANK(INDEX(#REF!,A266,1))),$B$147,"")</f>
        <v>#REF!</v>
      </c>
      <c r="Z266" s="113" t="str">
        <f>IFERROR(IF(AND(INDEX(#REF!,A266)&gt;0,INDEX(salaries_academic[[category]:[1]],MATCH(INDEX(#REF!,A266),salaries_academic[category],0),3)&gt;0),$B$149,""),"")</f>
        <v/>
      </c>
    </row>
    <row r="267" spans="1:26" outlineLevel="1" x14ac:dyDescent="0.35">
      <c r="A267" s="113">
        <v>60</v>
      </c>
      <c r="B267" s="113" t="str">
        <f t="array" ref="B267">IFERROR(INDEX(personnel_ac_notes[[#This Row],[Exceeding nr months]:[Costs specified]],1,MATCH(TRUE,LEN(personnel_ac_notes[[#This Row],[Exceeding nr months]:[Costs specified]])&gt;0,0)),"")</f>
        <v/>
      </c>
      <c r="C267" s="113" t="str">
        <f>IFERROR(IF(INDEX(#REF!,A267)&gt;Max_project_duration,$B$128,""),"")</f>
        <v/>
      </c>
      <c r="D267" s="113" t="str">
        <f>IFERROR(IF(AND(LEN(INDEX(#REF!,A267))+LEN(INDEX(#REF!,A267))+LEN(INDEX(#REF!,A267))&gt;0,LEN(INDEX(#REF!,A267-1))+LEN(INDEX(#REF!,A267-1))+LEN(INDEX(#REF!,A267-1))=0),$B$127,""),"")</f>
        <v/>
      </c>
      <c r="E267" s="113" t="str">
        <f>IF(AND(NOT(ISBLANK(INDEX(#REF!,A267))),OR(ISBLANK(INDEX(#REF!,A267)),ISBLANK(INDEX(#REF!,A267)))),VLOOKUP(INDEX(#REF!,A267),salaries_academic[],2,FALSE),"")</f>
        <v/>
      </c>
      <c r="F267" s="113" t="str">
        <f>IFERROR(IF(COUNTIF(INDEX(#REF!,A267),"*- PhD*")&gt;0,IF(INDEX(#REF!,A267)*INDEX(#REF!,A267)&lt;pers_PhD_min_months,$B$129,""),""),"")</f>
        <v/>
      </c>
      <c r="G267" s="113" t="str">
        <f>IFERROR(IF(COUNTIF(INDEX(#REF!,$A267),"*- PhD*")&gt;0,IF(INDEX(#REF!,$A267)*INDEX(#REF!,$A267)&gt;pers_PhD_max_months,$B$130,""),""),"")</f>
        <v/>
      </c>
      <c r="H267" s="113" t="str">
        <f>IFERROR(IF(COUNTIF(INDEX(#REF!,A267),"*year*")&gt;0,IF(INDEX(#REF!,A267)*INDEX(#REF!,A267)&lt;pers_3yPhD_min_months,$B$131,""),""),"")</f>
        <v/>
      </c>
      <c r="I267" s="113" t="str">
        <f>IFERROR(IF(COUNTIF(INDEX(#REF!,A267),"*PDEng*")&gt;0,IF(OR(IFERROR(MATCH("*PhD*",#REF!,0),0)&gt;0,IFERROR(MATCH("*PostDoc*",#REF!,0),0)&gt;0),"",$B$132),""),"")</f>
        <v/>
      </c>
      <c r="J267" s="113" t="str">
        <f>IFERROR(IF(COUNTIF(INDEX(#REF!,A267),"*PDEng*")&gt;0,IF(INDEX(#REF!,A267)*INDEX(#REF!,A267)&gt;pers_PDEng_max_months,$B$133,""),""),"")</f>
        <v/>
      </c>
      <c r="K267" s="113" t="str">
        <f>IFERROR(IF(COUNTIF(INDEX(#REF!,A267),"*PostDoc*")&gt;0,IF(INDEX(#REF!,A267)*INDEX(#REF!,A267)&lt;pers_PD_min_months,$B$134,""),""),"")</f>
        <v/>
      </c>
      <c r="L267" s="113" t="str">
        <f>IFERROR(IF(COUNTIF(INDEX(#REF!,A267),"*PostDoc*")&gt;0,IF(INDEX(#REF!,A267)*INDEX(#REF!,A267)&gt;pers_PD_max_months,$B$135,""),""),"")</f>
        <v/>
      </c>
      <c r="M267" s="113" t="str">
        <f>IFERROR(IF(COUNTIF(INDEX(#REF!,A267),"*Non-scientific*")&gt;0,IF(OR(IFERROR(MATCH("*PhD*",#REF!,0),0)&gt;0,IFERROR(MATCH("*PostDoc*",#REF!,0),0)&gt;0),"",$B$136),""),"")</f>
        <v/>
      </c>
      <c r="N267" s="113" t="str">
        <f>IFERROR(IF(COUNTIF(INDEX(#REF!,A267),"*Non-scientific*")&gt;0,IF(Total_NSP&gt;pers_max_NSP,$B$137,""),""),"")</f>
        <v/>
      </c>
      <c r="O267" s="113" t="str">
        <f>IFERROR(IF(COUNTIF(INDEX(#REF!,A267),"*Non-scientific*")&gt;0,IF(INDEX(#REF!,A267)*INDEX(#REF!,A267)&lt;pers_NSP_min_months,$B$138,""),""),"")</f>
        <v/>
      </c>
      <c r="P267" s="113" t="str">
        <f>IFERROR(IF(COUNTIF(INDEX(#REF!,A267),"*Non-scientific*")&gt;0,IF(INDEX(#REF!,A267)*INDEX(#REF!,A267)&gt;pers_NSP_max_months,$B$139,""),""),"")</f>
        <v/>
      </c>
      <c r="Q267" s="113" t="str">
        <f>IFERROR(IF(COUNTIF(INDEX(#REF!,A267),"*Other scientific*")&gt;0,IF(OR(IFERROR(MATCH("*PhD*",#REF!,0),0)&gt;0,IFERROR(MATCH("*PostDoc*",#REF!,0),0)&gt;0),"",$B$140),""),"")</f>
        <v/>
      </c>
      <c r="R267" s="113" t="str">
        <f>IFERROR(IF(COUNTIF(INDEX(#REF!,A267),"*Other scientific*")&gt;0,IF(Total_OSP&gt;pers_max_OSP,$B$141,""),""),"")</f>
        <v/>
      </c>
      <c r="S267" s="113" t="str">
        <f>IFERROR(IF(COUNTIF(INDEX(#REF!,A267),"*Other scientific*")&gt;0,IF(INDEX(#REF!,A267)*INDEX(#REF!,A267)&lt;pers_OSP_min_months,$B$142,""),""),"")</f>
        <v/>
      </c>
      <c r="T267" s="113" t="str">
        <f>IFERROR(IF(COUNTIF(INDEX(#REF!,A267),"*Other scientific*")&gt;0,IF(INDEX(#REF!,A267)*INDEX(#REF!,A267)&gt;pers_OSP_max_months,$B$143,""),""),"")</f>
        <v/>
      </c>
      <c r="U267" s="113" t="str">
        <f>IFERROR(IF(COUNTIF(INDEX(#REF!,A267),"*leave*")&gt;0,IF(Total_Research_leave&gt;pers_leave_maxperc*Total_NWO_funding,$B$144,""),""),"")</f>
        <v/>
      </c>
      <c r="V267" s="113" t="str">
        <f>IFERROR(IF(COUNTIF(INDEX(#REF!,A267),"*leave*")&gt;0,IF(Research_leave_FTE_months&gt;pers_leave_maxduration,$B$145,""),""),"")</f>
        <v/>
      </c>
      <c r="W267" s="113" t="str">
        <f>IFERROR(IF(AND(INDEX(#REF!,A267)=0,INDEX(salaries_academic[[category]:[1]],MATCH(INDEX(#REF!,A267),salaries_academic[category],0),3)=0),$B$148,""),"")</f>
        <v/>
      </c>
      <c r="X267" s="113" t="e">
        <f>IF(AND(organisation_type="yes",INDEX(#REF!,A267,1)&lt;&gt;"",ISBLANK(INDEX(#REF!,A267,1))),$B$146,"")</f>
        <v>#REF!</v>
      </c>
      <c r="Y267" s="113" t="e">
        <f>IF(AND(organisation_name="yes",INDEX(#REF!,A267,1)&lt;&gt;"",ISBLANK(INDEX(#REF!,A267,1))),$B$147,"")</f>
        <v>#REF!</v>
      </c>
      <c r="Z267" s="113" t="str">
        <f>IFERROR(IF(AND(INDEX(#REF!,A267)&gt;0,INDEX(salaries_academic[[category]:[1]],MATCH(INDEX(#REF!,A267),salaries_academic[category],0),3)&gt;0),$B$149,""),"")</f>
        <v/>
      </c>
    </row>
    <row r="268" spans="1:26" outlineLevel="1" x14ac:dyDescent="0.35">
      <c r="A268" s="113">
        <v>61</v>
      </c>
      <c r="B268" s="113" t="str">
        <f t="array" ref="B268">IFERROR(INDEX(personnel_ac_notes[[#This Row],[Exceeding nr months]:[Costs specified]],1,MATCH(TRUE,LEN(personnel_ac_notes[[#This Row],[Exceeding nr months]:[Costs specified]])&gt;0,0)),"")</f>
        <v/>
      </c>
      <c r="C268" s="113" t="str">
        <f>IFERROR(IF(INDEX(#REF!,A268)&gt;Max_project_duration,$B$128,""),"")</f>
        <v/>
      </c>
      <c r="D268" s="113" t="str">
        <f>IFERROR(IF(AND(LEN(INDEX(#REF!,A268))+LEN(INDEX(#REF!,A268))+LEN(INDEX(#REF!,A268))&gt;0,LEN(INDEX(#REF!,A268-1))+LEN(INDEX(#REF!,A268-1))+LEN(INDEX(#REF!,A268-1))=0),$B$127,""),"")</f>
        <v/>
      </c>
      <c r="E268" s="113" t="str">
        <f>IF(AND(NOT(ISBLANK(INDEX(#REF!,A268))),OR(ISBLANK(INDEX(#REF!,A268)),ISBLANK(INDEX(#REF!,A268)))),VLOOKUP(INDEX(#REF!,A268),salaries_academic[],2,FALSE),"")</f>
        <v/>
      </c>
      <c r="F268" s="113" t="str">
        <f>IFERROR(IF(COUNTIF(INDEX(#REF!,A268),"*- PhD*")&gt;0,IF(INDEX(#REF!,A268)*INDEX(#REF!,A268)&lt;pers_PhD_min_months,$B$129,""),""),"")</f>
        <v/>
      </c>
      <c r="G268" s="113" t="str">
        <f>IFERROR(IF(COUNTIF(INDEX(#REF!,$A268),"*- PhD*")&gt;0,IF(INDEX(#REF!,$A268)*INDEX(#REF!,$A268)&gt;pers_PhD_max_months,$B$130,""),""),"")</f>
        <v/>
      </c>
      <c r="H268" s="113" t="str">
        <f>IFERROR(IF(COUNTIF(INDEX(#REF!,A268),"*year*")&gt;0,IF(INDEX(#REF!,A268)*INDEX(#REF!,A268)&lt;pers_3yPhD_min_months,$B$131,""),""),"")</f>
        <v/>
      </c>
      <c r="I268" s="113" t="str">
        <f>IFERROR(IF(COUNTIF(INDEX(#REF!,A268),"*PDEng*")&gt;0,IF(OR(IFERROR(MATCH("*PhD*",#REF!,0),0)&gt;0,IFERROR(MATCH("*PostDoc*",#REF!,0),0)&gt;0),"",$B$132),""),"")</f>
        <v/>
      </c>
      <c r="J268" s="113" t="str">
        <f>IFERROR(IF(COUNTIF(INDEX(#REF!,A268),"*PDEng*")&gt;0,IF(INDEX(#REF!,A268)*INDEX(#REF!,A268)&gt;pers_PDEng_max_months,$B$133,""),""),"")</f>
        <v/>
      </c>
      <c r="K268" s="113" t="str">
        <f>IFERROR(IF(COUNTIF(INDEX(#REF!,A268),"*PostDoc*")&gt;0,IF(INDEX(#REF!,A268)*INDEX(#REF!,A268)&lt;pers_PD_min_months,$B$134,""),""),"")</f>
        <v/>
      </c>
      <c r="L268" s="113" t="str">
        <f>IFERROR(IF(COUNTIF(INDEX(#REF!,A268),"*PostDoc*")&gt;0,IF(INDEX(#REF!,A268)*INDEX(#REF!,A268)&gt;pers_PD_max_months,$B$135,""),""),"")</f>
        <v/>
      </c>
      <c r="M268" s="113" t="str">
        <f>IFERROR(IF(COUNTIF(INDEX(#REF!,A268),"*Non-scientific*")&gt;0,IF(OR(IFERROR(MATCH("*PhD*",#REF!,0),0)&gt;0,IFERROR(MATCH("*PostDoc*",#REF!,0),0)&gt;0),"",$B$136),""),"")</f>
        <v/>
      </c>
      <c r="N268" s="113" t="str">
        <f>IFERROR(IF(COUNTIF(INDEX(#REF!,A268),"*Non-scientific*")&gt;0,IF(Total_NSP&gt;pers_max_NSP,$B$137,""),""),"")</f>
        <v/>
      </c>
      <c r="O268" s="113" t="str">
        <f>IFERROR(IF(COUNTIF(INDEX(#REF!,A268),"*Non-scientific*")&gt;0,IF(INDEX(#REF!,A268)*INDEX(#REF!,A268)&lt;pers_NSP_min_months,$B$138,""),""),"")</f>
        <v/>
      </c>
      <c r="P268" s="113" t="str">
        <f>IFERROR(IF(COUNTIF(INDEX(#REF!,A268),"*Non-scientific*")&gt;0,IF(INDEX(#REF!,A268)*INDEX(#REF!,A268)&gt;pers_NSP_max_months,$B$139,""),""),"")</f>
        <v/>
      </c>
      <c r="Q268" s="113" t="str">
        <f>IFERROR(IF(COUNTIF(INDEX(#REF!,A268),"*Other scientific*")&gt;0,IF(OR(IFERROR(MATCH("*PhD*",#REF!,0),0)&gt;0,IFERROR(MATCH("*PostDoc*",#REF!,0),0)&gt;0),"",$B$140),""),"")</f>
        <v/>
      </c>
      <c r="R268" s="113" t="str">
        <f>IFERROR(IF(COUNTIF(INDEX(#REF!,A268),"*Other scientific*")&gt;0,IF(Total_OSP&gt;pers_max_OSP,$B$141,""),""),"")</f>
        <v/>
      </c>
      <c r="S268" s="113" t="str">
        <f>IFERROR(IF(COUNTIF(INDEX(#REF!,A268),"*Other scientific*")&gt;0,IF(INDEX(#REF!,A268)*INDEX(#REF!,A268)&lt;pers_OSP_min_months,$B$142,""),""),"")</f>
        <v/>
      </c>
      <c r="T268" s="113" t="str">
        <f>IFERROR(IF(COUNTIF(INDEX(#REF!,A268),"*Other scientific*")&gt;0,IF(INDEX(#REF!,A268)*INDEX(#REF!,A268)&gt;pers_OSP_max_months,$B$143,""),""),"")</f>
        <v/>
      </c>
      <c r="U268" s="113" t="str">
        <f>IFERROR(IF(COUNTIF(INDEX(#REF!,A268),"*leave*")&gt;0,IF(Total_Research_leave&gt;pers_leave_maxperc*Total_NWO_funding,$B$144,""),""),"")</f>
        <v/>
      </c>
      <c r="V268" s="113" t="str">
        <f>IFERROR(IF(COUNTIF(INDEX(#REF!,A268),"*leave*")&gt;0,IF(Research_leave_FTE_months&gt;pers_leave_maxduration,$B$145,""),""),"")</f>
        <v/>
      </c>
      <c r="W268" s="113" t="str">
        <f>IFERROR(IF(AND(INDEX(#REF!,A268)=0,INDEX(salaries_academic[[category]:[1]],MATCH(INDEX(#REF!,A268),salaries_academic[category],0),3)=0),$B$148,""),"")</f>
        <v/>
      </c>
      <c r="X268" s="113" t="e">
        <f>IF(AND(organisation_type="yes",INDEX(#REF!,A268,1)&lt;&gt;"",ISBLANK(INDEX(#REF!,A268,1))),$B$146,"")</f>
        <v>#REF!</v>
      </c>
      <c r="Y268" s="113" t="e">
        <f>IF(AND(organisation_name="yes",INDEX(#REF!,A268,1)&lt;&gt;"",ISBLANK(INDEX(#REF!,A268,1))),$B$147,"")</f>
        <v>#REF!</v>
      </c>
      <c r="Z268" s="113" t="str">
        <f>IFERROR(IF(AND(INDEX(#REF!,A268)&gt;0,INDEX(salaries_academic[[category]:[1]],MATCH(INDEX(#REF!,A268),salaries_academic[category],0),3)&gt;0),$B$149,""),"")</f>
        <v/>
      </c>
    </row>
    <row r="269" spans="1:26" outlineLevel="1" x14ac:dyDescent="0.35">
      <c r="A269" s="113">
        <v>62</v>
      </c>
      <c r="B269" s="113" t="str">
        <f t="array" ref="B269">IFERROR(INDEX(personnel_ac_notes[[#This Row],[Exceeding nr months]:[Costs specified]],1,MATCH(TRUE,LEN(personnel_ac_notes[[#This Row],[Exceeding nr months]:[Costs specified]])&gt;0,0)),"")</f>
        <v/>
      </c>
      <c r="C269" s="113" t="str">
        <f>IFERROR(IF(INDEX(#REF!,A269)&gt;Max_project_duration,$B$128,""),"")</f>
        <v/>
      </c>
      <c r="D269" s="113" t="str">
        <f>IFERROR(IF(AND(LEN(INDEX(#REF!,A269))+LEN(INDEX(#REF!,A269))+LEN(INDEX(#REF!,A269))&gt;0,LEN(INDEX(#REF!,A269-1))+LEN(INDEX(#REF!,A269-1))+LEN(INDEX(#REF!,A269-1))=0),$B$127,""),"")</f>
        <v/>
      </c>
      <c r="E269" s="113" t="str">
        <f>IF(AND(NOT(ISBLANK(INDEX(#REF!,A269))),OR(ISBLANK(INDEX(#REF!,A269)),ISBLANK(INDEX(#REF!,A269)))),VLOOKUP(INDEX(#REF!,A269),salaries_academic[],2,FALSE),"")</f>
        <v/>
      </c>
      <c r="F269" s="113" t="str">
        <f>IFERROR(IF(COUNTIF(INDEX(#REF!,A269),"*- PhD*")&gt;0,IF(INDEX(#REF!,A269)*INDEX(#REF!,A269)&lt;pers_PhD_min_months,$B$129,""),""),"")</f>
        <v/>
      </c>
      <c r="G269" s="113" t="str">
        <f>IFERROR(IF(COUNTIF(INDEX(#REF!,$A269),"*- PhD*")&gt;0,IF(INDEX(#REF!,$A269)*INDEX(#REF!,$A269)&gt;pers_PhD_max_months,$B$130,""),""),"")</f>
        <v/>
      </c>
      <c r="H269" s="113" t="str">
        <f>IFERROR(IF(COUNTIF(INDEX(#REF!,A269),"*year*")&gt;0,IF(INDEX(#REF!,A269)*INDEX(#REF!,A269)&lt;pers_3yPhD_min_months,$B$131,""),""),"")</f>
        <v/>
      </c>
      <c r="I269" s="113" t="str">
        <f>IFERROR(IF(COUNTIF(INDEX(#REF!,A269),"*PDEng*")&gt;0,IF(OR(IFERROR(MATCH("*PhD*",#REF!,0),0)&gt;0,IFERROR(MATCH("*PostDoc*",#REF!,0),0)&gt;0),"",$B$132),""),"")</f>
        <v/>
      </c>
      <c r="J269" s="113" t="str">
        <f>IFERROR(IF(COUNTIF(INDEX(#REF!,A269),"*PDEng*")&gt;0,IF(INDEX(#REF!,A269)*INDEX(#REF!,A269)&gt;pers_PDEng_max_months,$B$133,""),""),"")</f>
        <v/>
      </c>
      <c r="K269" s="113" t="str">
        <f>IFERROR(IF(COUNTIF(INDEX(#REF!,A269),"*PostDoc*")&gt;0,IF(INDEX(#REF!,A269)*INDEX(#REF!,A269)&lt;pers_PD_min_months,$B$134,""),""),"")</f>
        <v/>
      </c>
      <c r="L269" s="113" t="str">
        <f>IFERROR(IF(COUNTIF(INDEX(#REF!,A269),"*PostDoc*")&gt;0,IF(INDEX(#REF!,A269)*INDEX(#REF!,A269)&gt;pers_PD_max_months,$B$135,""),""),"")</f>
        <v/>
      </c>
      <c r="M269" s="113" t="str">
        <f>IFERROR(IF(COUNTIF(INDEX(#REF!,A269),"*Non-scientific*")&gt;0,IF(OR(IFERROR(MATCH("*PhD*",#REF!,0),0)&gt;0,IFERROR(MATCH("*PostDoc*",#REF!,0),0)&gt;0),"",$B$136),""),"")</f>
        <v/>
      </c>
      <c r="N269" s="113" t="str">
        <f>IFERROR(IF(COUNTIF(INDEX(#REF!,A269),"*Non-scientific*")&gt;0,IF(Total_NSP&gt;pers_max_NSP,$B$137,""),""),"")</f>
        <v/>
      </c>
      <c r="O269" s="113" t="str">
        <f>IFERROR(IF(COUNTIF(INDEX(#REF!,A269),"*Non-scientific*")&gt;0,IF(INDEX(#REF!,A269)*INDEX(#REF!,A269)&lt;pers_NSP_min_months,$B$138,""),""),"")</f>
        <v/>
      </c>
      <c r="P269" s="113" t="str">
        <f>IFERROR(IF(COUNTIF(INDEX(#REF!,A269),"*Non-scientific*")&gt;0,IF(INDEX(#REF!,A269)*INDEX(#REF!,A269)&gt;pers_NSP_max_months,$B$139,""),""),"")</f>
        <v/>
      </c>
      <c r="Q269" s="113" t="str">
        <f>IFERROR(IF(COUNTIF(INDEX(#REF!,A269),"*Other scientific*")&gt;0,IF(OR(IFERROR(MATCH("*PhD*",#REF!,0),0)&gt;0,IFERROR(MATCH("*PostDoc*",#REF!,0),0)&gt;0),"",$B$140),""),"")</f>
        <v/>
      </c>
      <c r="R269" s="113" t="str">
        <f>IFERROR(IF(COUNTIF(INDEX(#REF!,A269),"*Other scientific*")&gt;0,IF(Total_OSP&gt;pers_max_OSP,$B$141,""),""),"")</f>
        <v/>
      </c>
      <c r="S269" s="113" t="str">
        <f>IFERROR(IF(COUNTIF(INDEX(#REF!,A269),"*Other scientific*")&gt;0,IF(INDEX(#REF!,A269)*INDEX(#REF!,A269)&lt;pers_OSP_min_months,$B$142,""),""),"")</f>
        <v/>
      </c>
      <c r="T269" s="113" t="str">
        <f>IFERROR(IF(COUNTIF(INDEX(#REF!,A269),"*Other scientific*")&gt;0,IF(INDEX(#REF!,A269)*INDEX(#REF!,A269)&gt;pers_OSP_max_months,$B$143,""),""),"")</f>
        <v/>
      </c>
      <c r="U269" s="113" t="str">
        <f>IFERROR(IF(COUNTIF(INDEX(#REF!,A269),"*leave*")&gt;0,IF(Total_Research_leave&gt;pers_leave_maxperc*Total_NWO_funding,$B$144,""),""),"")</f>
        <v/>
      </c>
      <c r="V269" s="113" t="str">
        <f>IFERROR(IF(COUNTIF(INDEX(#REF!,A269),"*leave*")&gt;0,IF(Research_leave_FTE_months&gt;pers_leave_maxduration,$B$145,""),""),"")</f>
        <v/>
      </c>
      <c r="W269" s="113" t="str">
        <f>IFERROR(IF(AND(INDEX(#REF!,A269)=0,INDEX(salaries_academic[[category]:[1]],MATCH(INDEX(#REF!,A269),salaries_academic[category],0),3)=0),$B$148,""),"")</f>
        <v/>
      </c>
      <c r="X269" s="113" t="e">
        <f>IF(AND(organisation_type="yes",INDEX(#REF!,A269,1)&lt;&gt;"",ISBLANK(INDEX(#REF!,A269,1))),$B$146,"")</f>
        <v>#REF!</v>
      </c>
      <c r="Y269" s="113" t="e">
        <f>IF(AND(organisation_name="yes",INDEX(#REF!,A269,1)&lt;&gt;"",ISBLANK(INDEX(#REF!,A269,1))),$B$147,"")</f>
        <v>#REF!</v>
      </c>
      <c r="Z269" s="113" t="str">
        <f>IFERROR(IF(AND(INDEX(#REF!,A269)&gt;0,INDEX(salaries_academic[[category]:[1]],MATCH(INDEX(#REF!,A269),salaries_academic[category],0),3)&gt;0),$B$149,""),"")</f>
        <v/>
      </c>
    </row>
    <row r="270" spans="1:26" outlineLevel="1" x14ac:dyDescent="0.35">
      <c r="A270" s="113">
        <v>63</v>
      </c>
      <c r="B270" s="113" t="str">
        <f t="array" ref="B270">IFERROR(INDEX(personnel_ac_notes[[#This Row],[Exceeding nr months]:[Costs specified]],1,MATCH(TRUE,LEN(personnel_ac_notes[[#This Row],[Exceeding nr months]:[Costs specified]])&gt;0,0)),"")</f>
        <v/>
      </c>
      <c r="C270" s="113" t="str">
        <f>IFERROR(IF(INDEX(#REF!,A270)&gt;Max_project_duration,$B$128,""),"")</f>
        <v/>
      </c>
      <c r="D270" s="113" t="str">
        <f>IFERROR(IF(AND(LEN(INDEX(#REF!,A270))+LEN(INDEX(#REF!,A270))+LEN(INDEX(#REF!,A270))&gt;0,LEN(INDEX(#REF!,A270-1))+LEN(INDEX(#REF!,A270-1))+LEN(INDEX(#REF!,A270-1))=0),$B$127,""),"")</f>
        <v/>
      </c>
      <c r="E270" s="113" t="str">
        <f>IF(AND(NOT(ISBLANK(INDEX(#REF!,A270))),OR(ISBLANK(INDEX(#REF!,A270)),ISBLANK(INDEX(#REF!,A270)))),VLOOKUP(INDEX(#REF!,A270),salaries_academic[],2,FALSE),"")</f>
        <v/>
      </c>
      <c r="F270" s="113" t="str">
        <f>IFERROR(IF(COUNTIF(INDEX(#REF!,A270),"*- PhD*")&gt;0,IF(INDEX(#REF!,A270)*INDEX(#REF!,A270)&lt;pers_PhD_min_months,$B$129,""),""),"")</f>
        <v/>
      </c>
      <c r="G270" s="113" t="str">
        <f>IFERROR(IF(COUNTIF(INDEX(#REF!,$A270),"*- PhD*")&gt;0,IF(INDEX(#REF!,$A270)*INDEX(#REF!,$A270)&gt;pers_PhD_max_months,$B$130,""),""),"")</f>
        <v/>
      </c>
      <c r="H270" s="113" t="str">
        <f>IFERROR(IF(COUNTIF(INDEX(#REF!,A270),"*year*")&gt;0,IF(INDEX(#REF!,A270)*INDEX(#REF!,A270)&lt;pers_3yPhD_min_months,$B$131,""),""),"")</f>
        <v/>
      </c>
      <c r="I270" s="113" t="str">
        <f>IFERROR(IF(COUNTIF(INDEX(#REF!,A270),"*PDEng*")&gt;0,IF(OR(IFERROR(MATCH("*PhD*",#REF!,0),0)&gt;0,IFERROR(MATCH("*PostDoc*",#REF!,0),0)&gt;0),"",$B$132),""),"")</f>
        <v/>
      </c>
      <c r="J270" s="113" t="str">
        <f>IFERROR(IF(COUNTIF(INDEX(#REF!,A270),"*PDEng*")&gt;0,IF(INDEX(#REF!,A270)*INDEX(#REF!,A270)&gt;pers_PDEng_max_months,$B$133,""),""),"")</f>
        <v/>
      </c>
      <c r="K270" s="113" t="str">
        <f>IFERROR(IF(COUNTIF(INDEX(#REF!,A270),"*PostDoc*")&gt;0,IF(INDEX(#REF!,A270)*INDEX(#REF!,A270)&lt;pers_PD_min_months,$B$134,""),""),"")</f>
        <v/>
      </c>
      <c r="L270" s="113" t="str">
        <f>IFERROR(IF(COUNTIF(INDEX(#REF!,A270),"*PostDoc*")&gt;0,IF(INDEX(#REF!,A270)*INDEX(#REF!,A270)&gt;pers_PD_max_months,$B$135,""),""),"")</f>
        <v/>
      </c>
      <c r="M270" s="113" t="str">
        <f>IFERROR(IF(COUNTIF(INDEX(#REF!,A270),"*Non-scientific*")&gt;0,IF(OR(IFERROR(MATCH("*PhD*",#REF!,0),0)&gt;0,IFERROR(MATCH("*PostDoc*",#REF!,0),0)&gt;0),"",$B$136),""),"")</f>
        <v/>
      </c>
      <c r="N270" s="113" t="str">
        <f>IFERROR(IF(COUNTIF(INDEX(#REF!,A270),"*Non-scientific*")&gt;0,IF(Total_NSP&gt;pers_max_NSP,$B$137,""),""),"")</f>
        <v/>
      </c>
      <c r="O270" s="113" t="str">
        <f>IFERROR(IF(COUNTIF(INDEX(#REF!,A270),"*Non-scientific*")&gt;0,IF(INDEX(#REF!,A270)*INDEX(#REF!,A270)&lt;pers_NSP_min_months,$B$138,""),""),"")</f>
        <v/>
      </c>
      <c r="P270" s="113" t="str">
        <f>IFERROR(IF(COUNTIF(INDEX(#REF!,A270),"*Non-scientific*")&gt;0,IF(INDEX(#REF!,A270)*INDEX(#REF!,A270)&gt;pers_NSP_max_months,$B$139,""),""),"")</f>
        <v/>
      </c>
      <c r="Q270" s="113" t="str">
        <f>IFERROR(IF(COUNTIF(INDEX(#REF!,A270),"*Other scientific*")&gt;0,IF(OR(IFERROR(MATCH("*PhD*",#REF!,0),0)&gt;0,IFERROR(MATCH("*PostDoc*",#REF!,0),0)&gt;0),"",$B$140),""),"")</f>
        <v/>
      </c>
      <c r="R270" s="113" t="str">
        <f>IFERROR(IF(COUNTIF(INDEX(#REF!,A270),"*Other scientific*")&gt;0,IF(Total_OSP&gt;pers_max_OSP,$B$141,""),""),"")</f>
        <v/>
      </c>
      <c r="S270" s="113" t="str">
        <f>IFERROR(IF(COUNTIF(INDEX(#REF!,A270),"*Other scientific*")&gt;0,IF(INDEX(#REF!,A270)*INDEX(#REF!,A270)&lt;pers_OSP_min_months,$B$142,""),""),"")</f>
        <v/>
      </c>
      <c r="T270" s="113" t="str">
        <f>IFERROR(IF(COUNTIF(INDEX(#REF!,A270),"*Other scientific*")&gt;0,IF(INDEX(#REF!,A270)*INDEX(#REF!,A270)&gt;pers_OSP_max_months,$B$143,""),""),"")</f>
        <v/>
      </c>
      <c r="U270" s="113" t="str">
        <f>IFERROR(IF(COUNTIF(INDEX(#REF!,A270),"*leave*")&gt;0,IF(Total_Research_leave&gt;pers_leave_maxperc*Total_NWO_funding,$B$144,""),""),"")</f>
        <v/>
      </c>
      <c r="V270" s="113" t="str">
        <f>IFERROR(IF(COUNTIF(INDEX(#REF!,A270),"*leave*")&gt;0,IF(Research_leave_FTE_months&gt;pers_leave_maxduration,$B$145,""),""),"")</f>
        <v/>
      </c>
      <c r="W270" s="113" t="str">
        <f>IFERROR(IF(AND(INDEX(#REF!,A270)=0,INDEX(salaries_academic[[category]:[1]],MATCH(INDEX(#REF!,A270),salaries_academic[category],0),3)=0),$B$148,""),"")</f>
        <v/>
      </c>
      <c r="X270" s="113" t="e">
        <f>IF(AND(organisation_type="yes",INDEX(#REF!,A270,1)&lt;&gt;"",ISBLANK(INDEX(#REF!,A270,1))),$B$146,"")</f>
        <v>#REF!</v>
      </c>
      <c r="Y270" s="113" t="e">
        <f>IF(AND(organisation_name="yes",INDEX(#REF!,A270,1)&lt;&gt;"",ISBLANK(INDEX(#REF!,A270,1))),$B$147,"")</f>
        <v>#REF!</v>
      </c>
      <c r="Z270" s="113" t="str">
        <f>IFERROR(IF(AND(INDEX(#REF!,A270)&gt;0,INDEX(salaries_academic[[category]:[1]],MATCH(INDEX(#REF!,A270),salaries_academic[category],0),3)&gt;0),$B$149,""),"")</f>
        <v/>
      </c>
    </row>
    <row r="271" spans="1:26" outlineLevel="1" x14ac:dyDescent="0.35">
      <c r="A271" s="113">
        <v>64</v>
      </c>
      <c r="B271" s="113" t="str">
        <f t="array" ref="B271">IFERROR(INDEX(personnel_ac_notes[[#This Row],[Exceeding nr months]:[Costs specified]],1,MATCH(TRUE,LEN(personnel_ac_notes[[#This Row],[Exceeding nr months]:[Costs specified]])&gt;0,0)),"")</f>
        <v/>
      </c>
      <c r="C271" s="113" t="str">
        <f>IFERROR(IF(INDEX(#REF!,A271)&gt;Max_project_duration,$B$128,""),"")</f>
        <v/>
      </c>
      <c r="D271" s="113" t="str">
        <f>IFERROR(IF(AND(LEN(INDEX(#REF!,A271))+LEN(INDEX(#REF!,A271))+LEN(INDEX(#REF!,A271))&gt;0,LEN(INDEX(#REF!,A271-1))+LEN(INDEX(#REF!,A271-1))+LEN(INDEX(#REF!,A271-1))=0),$B$127,""),"")</f>
        <v/>
      </c>
      <c r="E271" s="113" t="str">
        <f>IF(AND(NOT(ISBLANK(INDEX(#REF!,A271))),OR(ISBLANK(INDEX(#REF!,A271)),ISBLANK(INDEX(#REF!,A271)))),VLOOKUP(INDEX(#REF!,A271),salaries_academic[],2,FALSE),"")</f>
        <v/>
      </c>
      <c r="F271" s="113" t="str">
        <f>IFERROR(IF(COUNTIF(INDEX(#REF!,A271),"*- PhD*")&gt;0,IF(INDEX(#REF!,A271)*INDEX(#REF!,A271)&lt;pers_PhD_min_months,$B$129,""),""),"")</f>
        <v/>
      </c>
      <c r="G271" s="113" t="str">
        <f>IFERROR(IF(COUNTIF(INDEX(#REF!,$A271),"*- PhD*")&gt;0,IF(INDEX(#REF!,$A271)*INDEX(#REF!,$A271)&gt;pers_PhD_max_months,$B$130,""),""),"")</f>
        <v/>
      </c>
      <c r="H271" s="113" t="str">
        <f>IFERROR(IF(COUNTIF(INDEX(#REF!,A271),"*year*")&gt;0,IF(INDEX(#REF!,A271)*INDEX(#REF!,A271)&lt;pers_3yPhD_min_months,$B$131,""),""),"")</f>
        <v/>
      </c>
      <c r="I271" s="113" t="str">
        <f>IFERROR(IF(COUNTIF(INDEX(#REF!,A271),"*PDEng*")&gt;0,IF(OR(IFERROR(MATCH("*PhD*",#REF!,0),0)&gt;0,IFERROR(MATCH("*PostDoc*",#REF!,0),0)&gt;0),"",$B$132),""),"")</f>
        <v/>
      </c>
      <c r="J271" s="113" t="str">
        <f>IFERROR(IF(COUNTIF(INDEX(#REF!,A271),"*PDEng*")&gt;0,IF(INDEX(#REF!,A271)*INDEX(#REF!,A271)&gt;pers_PDEng_max_months,$B$133,""),""),"")</f>
        <v/>
      </c>
      <c r="K271" s="113" t="str">
        <f>IFERROR(IF(COUNTIF(INDEX(#REF!,A271),"*PostDoc*")&gt;0,IF(INDEX(#REF!,A271)*INDEX(#REF!,A271)&lt;pers_PD_min_months,$B$134,""),""),"")</f>
        <v/>
      </c>
      <c r="L271" s="113" t="str">
        <f>IFERROR(IF(COUNTIF(INDEX(#REF!,A271),"*PostDoc*")&gt;0,IF(INDEX(#REF!,A271)*INDEX(#REF!,A271)&gt;pers_PD_max_months,$B$135,""),""),"")</f>
        <v/>
      </c>
      <c r="M271" s="113" t="str">
        <f>IFERROR(IF(COUNTIF(INDEX(#REF!,A271),"*Non-scientific*")&gt;0,IF(OR(IFERROR(MATCH("*PhD*",#REF!,0),0)&gt;0,IFERROR(MATCH("*PostDoc*",#REF!,0),0)&gt;0),"",$B$136),""),"")</f>
        <v/>
      </c>
      <c r="N271" s="113" t="str">
        <f>IFERROR(IF(COUNTIF(INDEX(#REF!,A271),"*Non-scientific*")&gt;0,IF(Total_NSP&gt;pers_max_NSP,$B$137,""),""),"")</f>
        <v/>
      </c>
      <c r="O271" s="113" t="str">
        <f>IFERROR(IF(COUNTIF(INDEX(#REF!,A271),"*Non-scientific*")&gt;0,IF(INDEX(#REF!,A271)*INDEX(#REF!,A271)&lt;pers_NSP_min_months,$B$138,""),""),"")</f>
        <v/>
      </c>
      <c r="P271" s="113" t="str">
        <f>IFERROR(IF(COUNTIF(INDEX(#REF!,A271),"*Non-scientific*")&gt;0,IF(INDEX(#REF!,A271)*INDEX(#REF!,A271)&gt;pers_NSP_max_months,$B$139,""),""),"")</f>
        <v/>
      </c>
      <c r="Q271" s="113" t="str">
        <f>IFERROR(IF(COUNTIF(INDEX(#REF!,A271),"*Other scientific*")&gt;0,IF(OR(IFERROR(MATCH("*PhD*",#REF!,0),0)&gt;0,IFERROR(MATCH("*PostDoc*",#REF!,0),0)&gt;0),"",$B$140),""),"")</f>
        <v/>
      </c>
      <c r="R271" s="113" t="str">
        <f>IFERROR(IF(COUNTIF(INDEX(#REF!,A271),"*Other scientific*")&gt;0,IF(Total_OSP&gt;pers_max_OSP,$B$141,""),""),"")</f>
        <v/>
      </c>
      <c r="S271" s="113" t="str">
        <f>IFERROR(IF(COUNTIF(INDEX(#REF!,A271),"*Other scientific*")&gt;0,IF(INDEX(#REF!,A271)*INDEX(#REF!,A271)&lt;pers_OSP_min_months,$B$142,""),""),"")</f>
        <v/>
      </c>
      <c r="T271" s="113" t="str">
        <f>IFERROR(IF(COUNTIF(INDEX(#REF!,A271),"*Other scientific*")&gt;0,IF(INDEX(#REF!,A271)*INDEX(#REF!,A271)&gt;pers_OSP_max_months,$B$143,""),""),"")</f>
        <v/>
      </c>
      <c r="U271" s="113" t="str">
        <f>IFERROR(IF(COUNTIF(INDEX(#REF!,A271),"*leave*")&gt;0,IF(Total_Research_leave&gt;pers_leave_maxperc*Total_NWO_funding,$B$144,""),""),"")</f>
        <v/>
      </c>
      <c r="V271" s="113" t="str">
        <f>IFERROR(IF(COUNTIF(INDEX(#REF!,A271),"*leave*")&gt;0,IF(Research_leave_FTE_months&gt;pers_leave_maxduration,$B$145,""),""),"")</f>
        <v/>
      </c>
      <c r="W271" s="113" t="str">
        <f>IFERROR(IF(AND(INDEX(#REF!,A271)=0,INDEX(salaries_academic[[category]:[1]],MATCH(INDEX(#REF!,A271),salaries_academic[category],0),3)=0),$B$148,""),"")</f>
        <v/>
      </c>
      <c r="X271" s="113" t="e">
        <f>IF(AND(organisation_type="yes",INDEX(#REF!,A271,1)&lt;&gt;"",ISBLANK(INDEX(#REF!,A271,1))),$B$146,"")</f>
        <v>#REF!</v>
      </c>
      <c r="Y271" s="113" t="e">
        <f>IF(AND(organisation_name="yes",INDEX(#REF!,A271,1)&lt;&gt;"",ISBLANK(INDEX(#REF!,A271,1))),$B$147,"")</f>
        <v>#REF!</v>
      </c>
      <c r="Z271" s="113" t="str">
        <f>IFERROR(IF(AND(INDEX(#REF!,A271)&gt;0,INDEX(salaries_academic[[category]:[1]],MATCH(INDEX(#REF!,A271),salaries_academic[category],0),3)&gt;0),$B$149,""),"")</f>
        <v/>
      </c>
    </row>
    <row r="272" spans="1:26" outlineLevel="1" x14ac:dyDescent="0.35">
      <c r="A272" s="113">
        <v>65</v>
      </c>
      <c r="B272" s="113" t="str">
        <f t="array" ref="B272">IFERROR(INDEX(personnel_ac_notes[[#This Row],[Exceeding nr months]:[Costs specified]],1,MATCH(TRUE,LEN(personnel_ac_notes[[#This Row],[Exceeding nr months]:[Costs specified]])&gt;0,0)),"")</f>
        <v/>
      </c>
      <c r="C272" s="113" t="str">
        <f>IFERROR(IF(INDEX(#REF!,A272)&gt;Max_project_duration,$B$128,""),"")</f>
        <v/>
      </c>
      <c r="D272" s="113" t="str">
        <f>IFERROR(IF(AND(LEN(INDEX(#REF!,A272))+LEN(INDEX(#REF!,A272))+LEN(INDEX(#REF!,A272))&gt;0,LEN(INDEX(#REF!,A272-1))+LEN(INDEX(#REF!,A272-1))+LEN(INDEX(#REF!,A272-1))=0),$B$127,""),"")</f>
        <v/>
      </c>
      <c r="E272" s="113" t="str">
        <f>IF(AND(NOT(ISBLANK(INDEX(#REF!,A272))),OR(ISBLANK(INDEX(#REF!,A272)),ISBLANK(INDEX(#REF!,A272)))),VLOOKUP(INDEX(#REF!,A272),salaries_academic[],2,FALSE),"")</f>
        <v/>
      </c>
      <c r="F272" s="113" t="str">
        <f>IFERROR(IF(COUNTIF(INDEX(#REF!,A272),"*- PhD*")&gt;0,IF(INDEX(#REF!,A272)*INDEX(#REF!,A272)&lt;pers_PhD_min_months,$B$129,""),""),"")</f>
        <v/>
      </c>
      <c r="G272" s="113" t="str">
        <f>IFERROR(IF(COUNTIF(INDEX(#REF!,$A272),"*- PhD*")&gt;0,IF(INDEX(#REF!,$A272)*INDEX(#REF!,$A272)&gt;pers_PhD_max_months,$B$130,""),""),"")</f>
        <v/>
      </c>
      <c r="H272" s="113" t="str">
        <f>IFERROR(IF(COUNTIF(INDEX(#REF!,A272),"*year*")&gt;0,IF(INDEX(#REF!,A272)*INDEX(#REF!,A272)&lt;pers_3yPhD_min_months,$B$131,""),""),"")</f>
        <v/>
      </c>
      <c r="I272" s="113" t="str">
        <f>IFERROR(IF(COUNTIF(INDEX(#REF!,A272),"*PDEng*")&gt;0,IF(OR(IFERROR(MATCH("*PhD*",#REF!,0),0)&gt;0,IFERROR(MATCH("*PostDoc*",#REF!,0),0)&gt;0),"",$B$132),""),"")</f>
        <v/>
      </c>
      <c r="J272" s="113" t="str">
        <f>IFERROR(IF(COUNTIF(INDEX(#REF!,A272),"*PDEng*")&gt;0,IF(INDEX(#REF!,A272)*INDEX(#REF!,A272)&gt;pers_PDEng_max_months,$B$133,""),""),"")</f>
        <v/>
      </c>
      <c r="K272" s="113" t="str">
        <f>IFERROR(IF(COUNTIF(INDEX(#REF!,A272),"*PostDoc*")&gt;0,IF(INDEX(#REF!,A272)*INDEX(#REF!,A272)&lt;pers_PD_min_months,$B$134,""),""),"")</f>
        <v/>
      </c>
      <c r="L272" s="113" t="str">
        <f>IFERROR(IF(COUNTIF(INDEX(#REF!,A272),"*PostDoc*")&gt;0,IF(INDEX(#REF!,A272)*INDEX(#REF!,A272)&gt;pers_PD_max_months,$B$135,""),""),"")</f>
        <v/>
      </c>
      <c r="M272" s="113" t="str">
        <f>IFERROR(IF(COUNTIF(INDEX(#REF!,A272),"*Non-scientific*")&gt;0,IF(OR(IFERROR(MATCH("*PhD*",#REF!,0),0)&gt;0,IFERROR(MATCH("*PostDoc*",#REF!,0),0)&gt;0),"",$B$136),""),"")</f>
        <v/>
      </c>
      <c r="N272" s="113" t="str">
        <f>IFERROR(IF(COUNTIF(INDEX(#REF!,A272),"*Non-scientific*")&gt;0,IF(Total_NSP&gt;pers_max_NSP,$B$137,""),""),"")</f>
        <v/>
      </c>
      <c r="O272" s="113" t="str">
        <f>IFERROR(IF(COUNTIF(INDEX(#REF!,A272),"*Non-scientific*")&gt;0,IF(INDEX(#REF!,A272)*INDEX(#REF!,A272)&lt;pers_NSP_min_months,$B$138,""),""),"")</f>
        <v/>
      </c>
      <c r="P272" s="113" t="str">
        <f>IFERROR(IF(COUNTIF(INDEX(#REF!,A272),"*Non-scientific*")&gt;0,IF(INDEX(#REF!,A272)*INDEX(#REF!,A272)&gt;pers_NSP_max_months,$B$139,""),""),"")</f>
        <v/>
      </c>
      <c r="Q272" s="113" t="str">
        <f>IFERROR(IF(COUNTIF(INDEX(#REF!,A272),"*Other scientific*")&gt;0,IF(OR(IFERROR(MATCH("*PhD*",#REF!,0),0)&gt;0,IFERROR(MATCH("*PostDoc*",#REF!,0),0)&gt;0),"",$B$140),""),"")</f>
        <v/>
      </c>
      <c r="R272" s="113" t="str">
        <f>IFERROR(IF(COUNTIF(INDEX(#REF!,A272),"*Other scientific*")&gt;0,IF(Total_OSP&gt;pers_max_OSP,$B$141,""),""),"")</f>
        <v/>
      </c>
      <c r="S272" s="113" t="str">
        <f>IFERROR(IF(COUNTIF(INDEX(#REF!,A272),"*Other scientific*")&gt;0,IF(INDEX(#REF!,A272)*INDEX(#REF!,A272)&lt;pers_OSP_min_months,$B$142,""),""),"")</f>
        <v/>
      </c>
      <c r="T272" s="113" t="str">
        <f>IFERROR(IF(COUNTIF(INDEX(#REF!,A272),"*Other scientific*")&gt;0,IF(INDEX(#REF!,A272)*INDEX(#REF!,A272)&gt;pers_OSP_max_months,$B$143,""),""),"")</f>
        <v/>
      </c>
      <c r="U272" s="113" t="str">
        <f>IFERROR(IF(COUNTIF(INDEX(#REF!,A272),"*leave*")&gt;0,IF(Total_Research_leave&gt;pers_leave_maxperc*Total_NWO_funding,$B$144,""),""),"")</f>
        <v/>
      </c>
      <c r="V272" s="113" t="str">
        <f>IFERROR(IF(COUNTIF(INDEX(#REF!,A272),"*leave*")&gt;0,IF(Research_leave_FTE_months&gt;pers_leave_maxduration,$B$145,""),""),"")</f>
        <v/>
      </c>
      <c r="W272" s="113" t="str">
        <f>IFERROR(IF(AND(INDEX(#REF!,A272)=0,INDEX(salaries_academic[[category]:[1]],MATCH(INDEX(#REF!,A272),salaries_academic[category],0),3)=0),$B$148,""),"")</f>
        <v/>
      </c>
      <c r="X272" s="113" t="e">
        <f>IF(AND(organisation_type="yes",INDEX(#REF!,A272,1)&lt;&gt;"",ISBLANK(INDEX(#REF!,A272,1))),$B$146,"")</f>
        <v>#REF!</v>
      </c>
      <c r="Y272" s="113" t="e">
        <f>IF(AND(organisation_name="yes",INDEX(#REF!,A272,1)&lt;&gt;"",ISBLANK(INDEX(#REF!,A272,1))),$B$147,"")</f>
        <v>#REF!</v>
      </c>
      <c r="Z272" s="113" t="str">
        <f>IFERROR(IF(AND(INDEX(#REF!,A272)&gt;0,INDEX(salaries_academic[[category]:[1]],MATCH(INDEX(#REF!,A272),salaries_academic[category],0),3)&gt;0),$B$149,""),"")</f>
        <v/>
      </c>
    </row>
    <row r="273" spans="1:26" outlineLevel="1" x14ac:dyDescent="0.35">
      <c r="A273" s="113">
        <v>66</v>
      </c>
      <c r="B273" s="113" t="str">
        <f t="array" ref="B273">IFERROR(INDEX(personnel_ac_notes[[#This Row],[Exceeding nr months]:[Costs specified]],1,MATCH(TRUE,LEN(personnel_ac_notes[[#This Row],[Exceeding nr months]:[Costs specified]])&gt;0,0)),"")</f>
        <v/>
      </c>
      <c r="C273" s="113" t="str">
        <f>IFERROR(IF(INDEX(#REF!,A273)&gt;Max_project_duration,$B$128,""),"")</f>
        <v/>
      </c>
      <c r="D273" s="113" t="str">
        <f>IFERROR(IF(AND(LEN(INDEX(#REF!,A273))+LEN(INDEX(#REF!,A273))+LEN(INDEX(#REF!,A273))&gt;0,LEN(INDEX(#REF!,A273-1))+LEN(INDEX(#REF!,A273-1))+LEN(INDEX(#REF!,A273-1))=0),$B$127,""),"")</f>
        <v/>
      </c>
      <c r="E273" s="113" t="str">
        <f>IF(AND(NOT(ISBLANK(INDEX(#REF!,A273))),OR(ISBLANK(INDEX(#REF!,A273)),ISBLANK(INDEX(#REF!,A273)))),VLOOKUP(INDEX(#REF!,A273),salaries_academic[],2,FALSE),"")</f>
        <v/>
      </c>
      <c r="F273" s="113" t="str">
        <f>IFERROR(IF(COUNTIF(INDEX(#REF!,A273),"*- PhD*")&gt;0,IF(INDEX(#REF!,A273)*INDEX(#REF!,A273)&lt;pers_PhD_min_months,$B$129,""),""),"")</f>
        <v/>
      </c>
      <c r="G273" s="113" t="str">
        <f>IFERROR(IF(COUNTIF(INDEX(#REF!,$A273),"*- PhD*")&gt;0,IF(INDEX(#REF!,$A273)*INDEX(#REF!,$A273)&gt;pers_PhD_max_months,$B$130,""),""),"")</f>
        <v/>
      </c>
      <c r="H273" s="113" t="str">
        <f>IFERROR(IF(COUNTIF(INDEX(#REF!,A273),"*year*")&gt;0,IF(INDEX(#REF!,A273)*INDEX(#REF!,A273)&lt;pers_3yPhD_min_months,$B$131,""),""),"")</f>
        <v/>
      </c>
      <c r="I273" s="113" t="str">
        <f>IFERROR(IF(COUNTIF(INDEX(#REF!,A273),"*PDEng*")&gt;0,IF(OR(IFERROR(MATCH("*PhD*",#REF!,0),0)&gt;0,IFERROR(MATCH("*PostDoc*",#REF!,0),0)&gt;0),"",$B$132),""),"")</f>
        <v/>
      </c>
      <c r="J273" s="113" t="str">
        <f>IFERROR(IF(COUNTIF(INDEX(#REF!,A273),"*PDEng*")&gt;0,IF(INDEX(#REF!,A273)*INDEX(#REF!,A273)&gt;pers_PDEng_max_months,$B$133,""),""),"")</f>
        <v/>
      </c>
      <c r="K273" s="113" t="str">
        <f>IFERROR(IF(COUNTIF(INDEX(#REF!,A273),"*PostDoc*")&gt;0,IF(INDEX(#REF!,A273)*INDEX(#REF!,A273)&lt;pers_PD_min_months,$B$134,""),""),"")</f>
        <v/>
      </c>
      <c r="L273" s="113" t="str">
        <f>IFERROR(IF(COUNTIF(INDEX(#REF!,A273),"*PostDoc*")&gt;0,IF(INDEX(#REF!,A273)*INDEX(#REF!,A273)&gt;pers_PD_max_months,$B$135,""),""),"")</f>
        <v/>
      </c>
      <c r="M273" s="113" t="str">
        <f>IFERROR(IF(COUNTIF(INDEX(#REF!,A273),"*Non-scientific*")&gt;0,IF(OR(IFERROR(MATCH("*PhD*",#REF!,0),0)&gt;0,IFERROR(MATCH("*PostDoc*",#REF!,0),0)&gt;0),"",$B$136),""),"")</f>
        <v/>
      </c>
      <c r="N273" s="113" t="str">
        <f>IFERROR(IF(COUNTIF(INDEX(#REF!,A273),"*Non-scientific*")&gt;0,IF(Total_NSP&gt;pers_max_NSP,$B$137,""),""),"")</f>
        <v/>
      </c>
      <c r="O273" s="113" t="str">
        <f>IFERROR(IF(COUNTIF(INDEX(#REF!,A273),"*Non-scientific*")&gt;0,IF(INDEX(#REF!,A273)*INDEX(#REF!,A273)&lt;pers_NSP_min_months,$B$138,""),""),"")</f>
        <v/>
      </c>
      <c r="P273" s="113" t="str">
        <f>IFERROR(IF(COUNTIF(INDEX(#REF!,A273),"*Non-scientific*")&gt;0,IF(INDEX(#REF!,A273)*INDEX(#REF!,A273)&gt;pers_NSP_max_months,$B$139,""),""),"")</f>
        <v/>
      </c>
      <c r="Q273" s="113" t="str">
        <f>IFERROR(IF(COUNTIF(INDEX(#REF!,A273),"*Other scientific*")&gt;0,IF(OR(IFERROR(MATCH("*PhD*",#REF!,0),0)&gt;0,IFERROR(MATCH("*PostDoc*",#REF!,0),0)&gt;0),"",$B$140),""),"")</f>
        <v/>
      </c>
      <c r="R273" s="113" t="str">
        <f>IFERROR(IF(COUNTIF(INDEX(#REF!,A273),"*Other scientific*")&gt;0,IF(Total_OSP&gt;pers_max_OSP,$B$141,""),""),"")</f>
        <v/>
      </c>
      <c r="S273" s="113" t="str">
        <f>IFERROR(IF(COUNTIF(INDEX(#REF!,A273),"*Other scientific*")&gt;0,IF(INDEX(#REF!,A273)*INDEX(#REF!,A273)&lt;pers_OSP_min_months,$B$142,""),""),"")</f>
        <v/>
      </c>
      <c r="T273" s="113" t="str">
        <f>IFERROR(IF(COUNTIF(INDEX(#REF!,A273),"*Other scientific*")&gt;0,IF(INDEX(#REF!,A273)*INDEX(#REF!,A273)&gt;pers_OSP_max_months,$B$143,""),""),"")</f>
        <v/>
      </c>
      <c r="U273" s="113" t="str">
        <f>IFERROR(IF(COUNTIF(INDEX(#REF!,A273),"*leave*")&gt;0,IF(Total_Research_leave&gt;pers_leave_maxperc*Total_NWO_funding,$B$144,""),""),"")</f>
        <v/>
      </c>
      <c r="V273" s="113" t="str">
        <f>IFERROR(IF(COUNTIF(INDEX(#REF!,A273),"*leave*")&gt;0,IF(Research_leave_FTE_months&gt;pers_leave_maxduration,$B$145,""),""),"")</f>
        <v/>
      </c>
      <c r="W273" s="113" t="str">
        <f>IFERROR(IF(AND(INDEX(#REF!,A273)=0,INDEX(salaries_academic[[category]:[1]],MATCH(INDEX(#REF!,A273),salaries_academic[category],0),3)=0),$B$148,""),"")</f>
        <v/>
      </c>
      <c r="X273" s="113" t="e">
        <f>IF(AND(organisation_type="yes",INDEX(#REF!,A273,1)&lt;&gt;"",ISBLANK(INDEX(#REF!,A273,1))),$B$146,"")</f>
        <v>#REF!</v>
      </c>
      <c r="Y273" s="113" t="e">
        <f>IF(AND(organisation_name="yes",INDEX(#REF!,A273,1)&lt;&gt;"",ISBLANK(INDEX(#REF!,A273,1))),$B$147,"")</f>
        <v>#REF!</v>
      </c>
      <c r="Z273" s="113" t="str">
        <f>IFERROR(IF(AND(INDEX(#REF!,A273)&gt;0,INDEX(salaries_academic[[category]:[1]],MATCH(INDEX(#REF!,A273),salaries_academic[category],0),3)&gt;0),$B$149,""),"")</f>
        <v/>
      </c>
    </row>
    <row r="274" spans="1:26" outlineLevel="1" x14ac:dyDescent="0.35">
      <c r="A274" s="113">
        <v>67</v>
      </c>
      <c r="B274" s="113" t="str">
        <f t="array" ref="B274">IFERROR(INDEX(personnel_ac_notes[[#This Row],[Exceeding nr months]:[Costs specified]],1,MATCH(TRUE,LEN(personnel_ac_notes[[#This Row],[Exceeding nr months]:[Costs specified]])&gt;0,0)),"")</f>
        <v/>
      </c>
      <c r="C274" s="113" t="str">
        <f>IFERROR(IF(INDEX(#REF!,A274)&gt;Max_project_duration,$B$128,""),"")</f>
        <v/>
      </c>
      <c r="D274" s="113" t="str">
        <f>IFERROR(IF(AND(LEN(INDEX(#REF!,A274))+LEN(INDEX(#REF!,A274))+LEN(INDEX(#REF!,A274))&gt;0,LEN(INDEX(#REF!,A274-1))+LEN(INDEX(#REF!,A274-1))+LEN(INDEX(#REF!,A274-1))=0),$B$127,""),"")</f>
        <v/>
      </c>
      <c r="E274" s="113" t="str">
        <f>IF(AND(NOT(ISBLANK(INDEX(#REF!,A274))),OR(ISBLANK(INDEX(#REF!,A274)),ISBLANK(INDEX(#REF!,A274)))),VLOOKUP(INDEX(#REF!,A274),salaries_academic[],2,FALSE),"")</f>
        <v/>
      </c>
      <c r="F274" s="113" t="str">
        <f>IFERROR(IF(COUNTIF(INDEX(#REF!,A274),"*- PhD*")&gt;0,IF(INDEX(#REF!,A274)*INDEX(#REF!,A274)&lt;pers_PhD_min_months,$B$129,""),""),"")</f>
        <v/>
      </c>
      <c r="G274" s="113" t="str">
        <f>IFERROR(IF(COUNTIF(INDEX(#REF!,$A274),"*- PhD*")&gt;0,IF(INDEX(#REF!,$A274)*INDEX(#REF!,$A274)&gt;pers_PhD_max_months,$B$130,""),""),"")</f>
        <v/>
      </c>
      <c r="H274" s="113" t="str">
        <f>IFERROR(IF(COUNTIF(INDEX(#REF!,A274),"*year*")&gt;0,IF(INDEX(#REF!,A274)*INDEX(#REF!,A274)&lt;pers_3yPhD_min_months,$B$131,""),""),"")</f>
        <v/>
      </c>
      <c r="I274" s="113" t="str">
        <f>IFERROR(IF(COUNTIF(INDEX(#REF!,A274),"*PDEng*")&gt;0,IF(OR(IFERROR(MATCH("*PhD*",#REF!,0),0)&gt;0,IFERROR(MATCH("*PostDoc*",#REF!,0),0)&gt;0),"",$B$132),""),"")</f>
        <v/>
      </c>
      <c r="J274" s="113" t="str">
        <f>IFERROR(IF(COUNTIF(INDEX(#REF!,A274),"*PDEng*")&gt;0,IF(INDEX(#REF!,A274)*INDEX(#REF!,A274)&gt;pers_PDEng_max_months,$B$133,""),""),"")</f>
        <v/>
      </c>
      <c r="K274" s="113" t="str">
        <f>IFERROR(IF(COUNTIF(INDEX(#REF!,A274),"*PostDoc*")&gt;0,IF(INDEX(#REF!,A274)*INDEX(#REF!,A274)&lt;pers_PD_min_months,$B$134,""),""),"")</f>
        <v/>
      </c>
      <c r="L274" s="113" t="str">
        <f>IFERROR(IF(COUNTIF(INDEX(#REF!,A274),"*PostDoc*")&gt;0,IF(INDEX(#REF!,A274)*INDEX(#REF!,A274)&gt;pers_PD_max_months,$B$135,""),""),"")</f>
        <v/>
      </c>
      <c r="M274" s="113" t="str">
        <f>IFERROR(IF(COUNTIF(INDEX(#REF!,A274),"*Non-scientific*")&gt;0,IF(OR(IFERROR(MATCH("*PhD*",#REF!,0),0)&gt;0,IFERROR(MATCH("*PostDoc*",#REF!,0),0)&gt;0),"",$B$136),""),"")</f>
        <v/>
      </c>
      <c r="N274" s="113" t="str">
        <f>IFERROR(IF(COUNTIF(INDEX(#REF!,A274),"*Non-scientific*")&gt;0,IF(Total_NSP&gt;pers_max_NSP,$B$137,""),""),"")</f>
        <v/>
      </c>
      <c r="O274" s="113" t="str">
        <f>IFERROR(IF(COUNTIF(INDEX(#REF!,A274),"*Non-scientific*")&gt;0,IF(INDEX(#REF!,A274)*INDEX(#REF!,A274)&lt;pers_NSP_min_months,$B$138,""),""),"")</f>
        <v/>
      </c>
      <c r="P274" s="113" t="str">
        <f>IFERROR(IF(COUNTIF(INDEX(#REF!,A274),"*Non-scientific*")&gt;0,IF(INDEX(#REF!,A274)*INDEX(#REF!,A274)&gt;pers_NSP_max_months,$B$139,""),""),"")</f>
        <v/>
      </c>
      <c r="Q274" s="113" t="str">
        <f>IFERROR(IF(COUNTIF(INDEX(#REF!,A274),"*Other scientific*")&gt;0,IF(OR(IFERROR(MATCH("*PhD*",#REF!,0),0)&gt;0,IFERROR(MATCH("*PostDoc*",#REF!,0),0)&gt;0),"",$B$140),""),"")</f>
        <v/>
      </c>
      <c r="R274" s="113" t="str">
        <f>IFERROR(IF(COUNTIF(INDEX(#REF!,A274),"*Other scientific*")&gt;0,IF(Total_OSP&gt;pers_max_OSP,$B$141,""),""),"")</f>
        <v/>
      </c>
      <c r="S274" s="113" t="str">
        <f>IFERROR(IF(COUNTIF(INDEX(#REF!,A274),"*Other scientific*")&gt;0,IF(INDEX(#REF!,A274)*INDEX(#REF!,A274)&lt;pers_OSP_min_months,$B$142,""),""),"")</f>
        <v/>
      </c>
      <c r="T274" s="113" t="str">
        <f>IFERROR(IF(COUNTIF(INDEX(#REF!,A274),"*Other scientific*")&gt;0,IF(INDEX(#REF!,A274)*INDEX(#REF!,A274)&gt;pers_OSP_max_months,$B$143,""),""),"")</f>
        <v/>
      </c>
      <c r="U274" s="113" t="str">
        <f>IFERROR(IF(COUNTIF(INDEX(#REF!,A274),"*leave*")&gt;0,IF(Total_Research_leave&gt;pers_leave_maxperc*Total_NWO_funding,$B$144,""),""),"")</f>
        <v/>
      </c>
      <c r="V274" s="113" t="str">
        <f>IFERROR(IF(COUNTIF(INDEX(#REF!,A274),"*leave*")&gt;0,IF(Research_leave_FTE_months&gt;pers_leave_maxduration,$B$145,""),""),"")</f>
        <v/>
      </c>
      <c r="W274" s="113" t="str">
        <f>IFERROR(IF(AND(INDEX(#REF!,A274)=0,INDEX(salaries_academic[[category]:[1]],MATCH(INDEX(#REF!,A274),salaries_academic[category],0),3)=0),$B$148,""),"")</f>
        <v/>
      </c>
      <c r="X274" s="113" t="e">
        <f>IF(AND(organisation_type="yes",INDEX(#REF!,A274,1)&lt;&gt;"",ISBLANK(INDEX(#REF!,A274,1))),$B$146,"")</f>
        <v>#REF!</v>
      </c>
      <c r="Y274" s="113" t="e">
        <f>IF(AND(organisation_name="yes",INDEX(#REF!,A274,1)&lt;&gt;"",ISBLANK(INDEX(#REF!,A274,1))),$B$147,"")</f>
        <v>#REF!</v>
      </c>
      <c r="Z274" s="113" t="str">
        <f>IFERROR(IF(AND(INDEX(#REF!,A274)&gt;0,INDEX(salaries_academic[[category]:[1]],MATCH(INDEX(#REF!,A274),salaries_academic[category],0),3)&gt;0),$B$149,""),"")</f>
        <v/>
      </c>
    </row>
    <row r="275" spans="1:26" outlineLevel="1" x14ac:dyDescent="0.35">
      <c r="A275" s="113">
        <v>68</v>
      </c>
      <c r="B275" s="113" t="str">
        <f t="array" ref="B275">IFERROR(INDEX(personnel_ac_notes[[#This Row],[Exceeding nr months]:[Costs specified]],1,MATCH(TRUE,LEN(personnel_ac_notes[[#This Row],[Exceeding nr months]:[Costs specified]])&gt;0,0)),"")</f>
        <v/>
      </c>
      <c r="C275" s="113" t="str">
        <f>IFERROR(IF(INDEX(#REF!,A275)&gt;Max_project_duration,$B$128,""),"")</f>
        <v/>
      </c>
      <c r="D275" s="113" t="str">
        <f>IFERROR(IF(AND(LEN(INDEX(#REF!,A275))+LEN(INDEX(#REF!,A275))+LEN(INDEX(#REF!,A275))&gt;0,LEN(INDEX(#REF!,A275-1))+LEN(INDEX(#REF!,A275-1))+LEN(INDEX(#REF!,A275-1))=0),$B$127,""),"")</f>
        <v/>
      </c>
      <c r="E275" s="113" t="str">
        <f>IF(AND(NOT(ISBLANK(INDEX(#REF!,A275))),OR(ISBLANK(INDEX(#REF!,A275)),ISBLANK(INDEX(#REF!,A275)))),VLOOKUP(INDEX(#REF!,A275),salaries_academic[],2,FALSE),"")</f>
        <v/>
      </c>
      <c r="F275" s="113" t="str">
        <f>IFERROR(IF(COUNTIF(INDEX(#REF!,A275),"*- PhD*")&gt;0,IF(INDEX(#REF!,A275)*INDEX(#REF!,A275)&lt;pers_PhD_min_months,$B$129,""),""),"")</f>
        <v/>
      </c>
      <c r="G275" s="113" t="str">
        <f>IFERROR(IF(COUNTIF(INDEX(#REF!,$A275),"*- PhD*")&gt;0,IF(INDEX(#REF!,$A275)*INDEX(#REF!,$A275)&gt;pers_PhD_max_months,$B$130,""),""),"")</f>
        <v/>
      </c>
      <c r="H275" s="113" t="str">
        <f>IFERROR(IF(COUNTIF(INDEX(#REF!,A275),"*year*")&gt;0,IF(INDEX(#REF!,A275)*INDEX(#REF!,A275)&lt;pers_3yPhD_min_months,$B$131,""),""),"")</f>
        <v/>
      </c>
      <c r="I275" s="113" t="str">
        <f>IFERROR(IF(COUNTIF(INDEX(#REF!,A275),"*PDEng*")&gt;0,IF(OR(IFERROR(MATCH("*PhD*",#REF!,0),0)&gt;0,IFERROR(MATCH("*PostDoc*",#REF!,0),0)&gt;0),"",$B$132),""),"")</f>
        <v/>
      </c>
      <c r="J275" s="113" t="str">
        <f>IFERROR(IF(COUNTIF(INDEX(#REF!,A275),"*PDEng*")&gt;0,IF(INDEX(#REF!,A275)*INDEX(#REF!,A275)&gt;pers_PDEng_max_months,$B$133,""),""),"")</f>
        <v/>
      </c>
      <c r="K275" s="113" t="str">
        <f>IFERROR(IF(COUNTIF(INDEX(#REF!,A275),"*PostDoc*")&gt;0,IF(INDEX(#REF!,A275)*INDEX(#REF!,A275)&lt;pers_PD_min_months,$B$134,""),""),"")</f>
        <v/>
      </c>
      <c r="L275" s="113" t="str">
        <f>IFERROR(IF(COUNTIF(INDEX(#REF!,A275),"*PostDoc*")&gt;0,IF(INDEX(#REF!,A275)*INDEX(#REF!,A275)&gt;pers_PD_max_months,$B$135,""),""),"")</f>
        <v/>
      </c>
      <c r="M275" s="113" t="str">
        <f>IFERROR(IF(COUNTIF(INDEX(#REF!,A275),"*Non-scientific*")&gt;0,IF(OR(IFERROR(MATCH("*PhD*",#REF!,0),0)&gt;0,IFERROR(MATCH("*PostDoc*",#REF!,0),0)&gt;0),"",$B$136),""),"")</f>
        <v/>
      </c>
      <c r="N275" s="113" t="str">
        <f>IFERROR(IF(COUNTIF(INDEX(#REF!,A275),"*Non-scientific*")&gt;0,IF(Total_NSP&gt;pers_max_NSP,$B$137,""),""),"")</f>
        <v/>
      </c>
      <c r="O275" s="113" t="str">
        <f>IFERROR(IF(COUNTIF(INDEX(#REF!,A275),"*Non-scientific*")&gt;0,IF(INDEX(#REF!,A275)*INDEX(#REF!,A275)&lt;pers_NSP_min_months,$B$138,""),""),"")</f>
        <v/>
      </c>
      <c r="P275" s="113" t="str">
        <f>IFERROR(IF(COUNTIF(INDEX(#REF!,A275),"*Non-scientific*")&gt;0,IF(INDEX(#REF!,A275)*INDEX(#REF!,A275)&gt;pers_NSP_max_months,$B$139,""),""),"")</f>
        <v/>
      </c>
      <c r="Q275" s="113" t="str">
        <f>IFERROR(IF(COUNTIF(INDEX(#REF!,A275),"*Other scientific*")&gt;0,IF(OR(IFERROR(MATCH("*PhD*",#REF!,0),0)&gt;0,IFERROR(MATCH("*PostDoc*",#REF!,0),0)&gt;0),"",$B$140),""),"")</f>
        <v/>
      </c>
      <c r="R275" s="113" t="str">
        <f>IFERROR(IF(COUNTIF(INDEX(#REF!,A275),"*Other scientific*")&gt;0,IF(Total_OSP&gt;pers_max_OSP,$B$141,""),""),"")</f>
        <v/>
      </c>
      <c r="S275" s="113" t="str">
        <f>IFERROR(IF(COUNTIF(INDEX(#REF!,A275),"*Other scientific*")&gt;0,IF(INDEX(#REF!,A275)*INDEX(#REF!,A275)&lt;pers_OSP_min_months,$B$142,""),""),"")</f>
        <v/>
      </c>
      <c r="T275" s="113" t="str">
        <f>IFERROR(IF(COUNTIF(INDEX(#REF!,A275),"*Other scientific*")&gt;0,IF(INDEX(#REF!,A275)*INDEX(#REF!,A275)&gt;pers_OSP_max_months,$B$143,""),""),"")</f>
        <v/>
      </c>
      <c r="U275" s="113" t="str">
        <f>IFERROR(IF(COUNTIF(INDEX(#REF!,A275),"*leave*")&gt;0,IF(Total_Research_leave&gt;pers_leave_maxperc*Total_NWO_funding,$B$144,""),""),"")</f>
        <v/>
      </c>
      <c r="V275" s="113" t="str">
        <f>IFERROR(IF(COUNTIF(INDEX(#REF!,A275),"*leave*")&gt;0,IF(Research_leave_FTE_months&gt;pers_leave_maxduration,$B$145,""),""),"")</f>
        <v/>
      </c>
      <c r="W275" s="113" t="str">
        <f>IFERROR(IF(AND(INDEX(#REF!,A275)=0,INDEX(salaries_academic[[category]:[1]],MATCH(INDEX(#REF!,A275),salaries_academic[category],0),3)=0),$B$148,""),"")</f>
        <v/>
      </c>
      <c r="X275" s="113" t="e">
        <f>IF(AND(organisation_type="yes",INDEX(#REF!,A275,1)&lt;&gt;"",ISBLANK(INDEX(#REF!,A275,1))),$B$146,"")</f>
        <v>#REF!</v>
      </c>
      <c r="Y275" s="113" t="e">
        <f>IF(AND(organisation_name="yes",INDEX(#REF!,A275,1)&lt;&gt;"",ISBLANK(INDEX(#REF!,A275,1))),$B$147,"")</f>
        <v>#REF!</v>
      </c>
      <c r="Z275" s="113" t="str">
        <f>IFERROR(IF(AND(INDEX(#REF!,A275)&gt;0,INDEX(salaries_academic[[category]:[1]],MATCH(INDEX(#REF!,A275),salaries_academic[category],0),3)&gt;0),$B$149,""),"")</f>
        <v/>
      </c>
    </row>
    <row r="276" spans="1:26" outlineLevel="1" x14ac:dyDescent="0.35">
      <c r="A276" s="113">
        <v>69</v>
      </c>
      <c r="B276" s="113" t="str">
        <f t="array" ref="B276">IFERROR(INDEX(personnel_ac_notes[[#This Row],[Exceeding nr months]:[Costs specified]],1,MATCH(TRUE,LEN(personnel_ac_notes[[#This Row],[Exceeding nr months]:[Costs specified]])&gt;0,0)),"")</f>
        <v/>
      </c>
      <c r="C276" s="113" t="str">
        <f>IFERROR(IF(INDEX(#REF!,A276)&gt;Max_project_duration,$B$128,""),"")</f>
        <v/>
      </c>
      <c r="D276" s="113" t="str">
        <f>IFERROR(IF(AND(LEN(INDEX(#REF!,A276))+LEN(INDEX(#REF!,A276))+LEN(INDEX(#REF!,A276))&gt;0,LEN(INDEX(#REF!,A276-1))+LEN(INDEX(#REF!,A276-1))+LEN(INDEX(#REF!,A276-1))=0),$B$127,""),"")</f>
        <v/>
      </c>
      <c r="E276" s="113" t="str">
        <f>IF(AND(NOT(ISBLANK(INDEX(#REF!,A276))),OR(ISBLANK(INDEX(#REF!,A276)),ISBLANK(INDEX(#REF!,A276)))),VLOOKUP(INDEX(#REF!,A276),salaries_academic[],2,FALSE),"")</f>
        <v/>
      </c>
      <c r="F276" s="113" t="str">
        <f>IFERROR(IF(COUNTIF(INDEX(#REF!,A276),"*- PhD*")&gt;0,IF(INDEX(#REF!,A276)*INDEX(#REF!,A276)&lt;pers_PhD_min_months,$B$129,""),""),"")</f>
        <v/>
      </c>
      <c r="G276" s="113" t="str">
        <f>IFERROR(IF(COUNTIF(INDEX(#REF!,$A276),"*- PhD*")&gt;0,IF(INDEX(#REF!,$A276)*INDEX(#REF!,$A276)&gt;pers_PhD_max_months,$B$130,""),""),"")</f>
        <v/>
      </c>
      <c r="H276" s="113" t="str">
        <f>IFERROR(IF(COUNTIF(INDEX(#REF!,A276),"*year*")&gt;0,IF(INDEX(#REF!,A276)*INDEX(#REF!,A276)&lt;pers_3yPhD_min_months,$B$131,""),""),"")</f>
        <v/>
      </c>
      <c r="I276" s="113" t="str">
        <f>IFERROR(IF(COUNTIF(INDEX(#REF!,A276),"*PDEng*")&gt;0,IF(OR(IFERROR(MATCH("*PhD*",#REF!,0),0)&gt;0,IFERROR(MATCH("*PostDoc*",#REF!,0),0)&gt;0),"",$B$132),""),"")</f>
        <v/>
      </c>
      <c r="J276" s="113" t="str">
        <f>IFERROR(IF(COUNTIF(INDEX(#REF!,A276),"*PDEng*")&gt;0,IF(INDEX(#REF!,A276)*INDEX(#REF!,A276)&gt;pers_PDEng_max_months,$B$133,""),""),"")</f>
        <v/>
      </c>
      <c r="K276" s="113" t="str">
        <f>IFERROR(IF(COUNTIF(INDEX(#REF!,A276),"*PostDoc*")&gt;0,IF(INDEX(#REF!,A276)*INDEX(#REF!,A276)&lt;pers_PD_min_months,$B$134,""),""),"")</f>
        <v/>
      </c>
      <c r="L276" s="113" t="str">
        <f>IFERROR(IF(COUNTIF(INDEX(#REF!,A276),"*PostDoc*")&gt;0,IF(INDEX(#REF!,A276)*INDEX(#REF!,A276)&gt;pers_PD_max_months,$B$135,""),""),"")</f>
        <v/>
      </c>
      <c r="M276" s="113" t="str">
        <f>IFERROR(IF(COUNTIF(INDEX(#REF!,A276),"*Non-scientific*")&gt;0,IF(OR(IFERROR(MATCH("*PhD*",#REF!,0),0)&gt;0,IFERROR(MATCH("*PostDoc*",#REF!,0),0)&gt;0),"",$B$136),""),"")</f>
        <v/>
      </c>
      <c r="N276" s="113" t="str">
        <f>IFERROR(IF(COUNTIF(INDEX(#REF!,A276),"*Non-scientific*")&gt;0,IF(Total_NSP&gt;pers_max_NSP,$B$137,""),""),"")</f>
        <v/>
      </c>
      <c r="O276" s="113" t="str">
        <f>IFERROR(IF(COUNTIF(INDEX(#REF!,A276),"*Non-scientific*")&gt;0,IF(INDEX(#REF!,A276)*INDEX(#REF!,A276)&lt;pers_NSP_min_months,$B$138,""),""),"")</f>
        <v/>
      </c>
      <c r="P276" s="113" t="str">
        <f>IFERROR(IF(COUNTIF(INDEX(#REF!,A276),"*Non-scientific*")&gt;0,IF(INDEX(#REF!,A276)*INDEX(#REF!,A276)&gt;pers_NSP_max_months,$B$139,""),""),"")</f>
        <v/>
      </c>
      <c r="Q276" s="113" t="str">
        <f>IFERROR(IF(COUNTIF(INDEX(#REF!,A276),"*Other scientific*")&gt;0,IF(OR(IFERROR(MATCH("*PhD*",#REF!,0),0)&gt;0,IFERROR(MATCH("*PostDoc*",#REF!,0),0)&gt;0),"",$B$140),""),"")</f>
        <v/>
      </c>
      <c r="R276" s="113" t="str">
        <f>IFERROR(IF(COUNTIF(INDEX(#REF!,A276),"*Other scientific*")&gt;0,IF(Total_OSP&gt;pers_max_OSP,$B$141,""),""),"")</f>
        <v/>
      </c>
      <c r="S276" s="113" t="str">
        <f>IFERROR(IF(COUNTIF(INDEX(#REF!,A276),"*Other scientific*")&gt;0,IF(INDEX(#REF!,A276)*INDEX(#REF!,A276)&lt;pers_OSP_min_months,$B$142,""),""),"")</f>
        <v/>
      </c>
      <c r="T276" s="113" t="str">
        <f>IFERROR(IF(COUNTIF(INDEX(#REF!,A276),"*Other scientific*")&gt;0,IF(INDEX(#REF!,A276)*INDEX(#REF!,A276)&gt;pers_OSP_max_months,$B$143,""),""),"")</f>
        <v/>
      </c>
      <c r="U276" s="113" t="str">
        <f>IFERROR(IF(COUNTIF(INDEX(#REF!,A276),"*leave*")&gt;0,IF(Total_Research_leave&gt;pers_leave_maxperc*Total_NWO_funding,$B$144,""),""),"")</f>
        <v/>
      </c>
      <c r="V276" s="113" t="str">
        <f>IFERROR(IF(COUNTIF(INDEX(#REF!,A276),"*leave*")&gt;0,IF(Research_leave_FTE_months&gt;pers_leave_maxduration,$B$145,""),""),"")</f>
        <v/>
      </c>
      <c r="W276" s="113" t="str">
        <f>IFERROR(IF(AND(INDEX(#REF!,A276)=0,INDEX(salaries_academic[[category]:[1]],MATCH(INDEX(#REF!,A276),salaries_academic[category],0),3)=0),$B$148,""),"")</f>
        <v/>
      </c>
      <c r="X276" s="113" t="e">
        <f>IF(AND(organisation_type="yes",INDEX(#REF!,A276,1)&lt;&gt;"",ISBLANK(INDEX(#REF!,A276,1))),$B$146,"")</f>
        <v>#REF!</v>
      </c>
      <c r="Y276" s="113" t="e">
        <f>IF(AND(organisation_name="yes",INDEX(#REF!,A276,1)&lt;&gt;"",ISBLANK(INDEX(#REF!,A276,1))),$B$147,"")</f>
        <v>#REF!</v>
      </c>
      <c r="Z276" s="113" t="str">
        <f>IFERROR(IF(AND(INDEX(#REF!,A276)&gt;0,INDEX(salaries_academic[[category]:[1]],MATCH(INDEX(#REF!,A276),salaries_academic[category],0),3)&gt;0),$B$149,""),"")</f>
        <v/>
      </c>
    </row>
    <row r="277" spans="1:26" outlineLevel="1" x14ac:dyDescent="0.35">
      <c r="A277" s="113">
        <v>70</v>
      </c>
      <c r="B277" s="113" t="str">
        <f t="array" ref="B277">IFERROR(INDEX(personnel_ac_notes[[#This Row],[Exceeding nr months]:[Costs specified]],1,MATCH(TRUE,LEN(personnel_ac_notes[[#This Row],[Exceeding nr months]:[Costs specified]])&gt;0,0)),"")</f>
        <v/>
      </c>
      <c r="C277" s="113" t="str">
        <f>IFERROR(IF(INDEX(#REF!,A277)&gt;Max_project_duration,$B$128,""),"")</f>
        <v/>
      </c>
      <c r="D277" s="113" t="str">
        <f>IFERROR(IF(AND(LEN(INDEX(#REF!,A277))+LEN(INDEX(#REF!,A277))+LEN(INDEX(#REF!,A277))&gt;0,LEN(INDEX(#REF!,A277-1))+LEN(INDEX(#REF!,A277-1))+LEN(INDEX(#REF!,A277-1))=0),$B$127,""),"")</f>
        <v/>
      </c>
      <c r="E277" s="113" t="str">
        <f>IF(AND(NOT(ISBLANK(INDEX(#REF!,A277))),OR(ISBLANK(INDEX(#REF!,A277)),ISBLANK(INDEX(#REF!,A277)))),VLOOKUP(INDEX(#REF!,A277),salaries_academic[],2,FALSE),"")</f>
        <v/>
      </c>
      <c r="F277" s="113" t="str">
        <f>IFERROR(IF(COUNTIF(INDEX(#REF!,A277),"*- PhD*")&gt;0,IF(INDEX(#REF!,A277)*INDEX(#REF!,A277)&lt;pers_PhD_min_months,$B$129,""),""),"")</f>
        <v/>
      </c>
      <c r="G277" s="113" t="str">
        <f>IFERROR(IF(COUNTIF(INDEX(#REF!,$A277),"*- PhD*")&gt;0,IF(INDEX(#REF!,$A277)*INDEX(#REF!,$A277)&gt;pers_PhD_max_months,$B$130,""),""),"")</f>
        <v/>
      </c>
      <c r="H277" s="113" t="str">
        <f>IFERROR(IF(COUNTIF(INDEX(#REF!,A277),"*year*")&gt;0,IF(INDEX(#REF!,A277)*INDEX(#REF!,A277)&lt;pers_3yPhD_min_months,$B$131,""),""),"")</f>
        <v/>
      </c>
      <c r="I277" s="113" t="str">
        <f>IFERROR(IF(COUNTIF(INDEX(#REF!,A277),"*PDEng*")&gt;0,IF(OR(IFERROR(MATCH("*PhD*",#REF!,0),0)&gt;0,IFERROR(MATCH("*PostDoc*",#REF!,0),0)&gt;0),"",$B$132),""),"")</f>
        <v/>
      </c>
      <c r="J277" s="113" t="str">
        <f>IFERROR(IF(COUNTIF(INDEX(#REF!,A277),"*PDEng*")&gt;0,IF(INDEX(#REF!,A277)*INDEX(#REF!,A277)&gt;pers_PDEng_max_months,$B$133,""),""),"")</f>
        <v/>
      </c>
      <c r="K277" s="113" t="str">
        <f>IFERROR(IF(COUNTIF(INDEX(#REF!,A277),"*PostDoc*")&gt;0,IF(INDEX(#REF!,A277)*INDEX(#REF!,A277)&lt;pers_PD_min_months,$B$134,""),""),"")</f>
        <v/>
      </c>
      <c r="L277" s="113" t="str">
        <f>IFERROR(IF(COUNTIF(INDEX(#REF!,A277),"*PostDoc*")&gt;0,IF(INDEX(#REF!,A277)*INDEX(#REF!,A277)&gt;pers_PD_max_months,$B$135,""),""),"")</f>
        <v/>
      </c>
      <c r="M277" s="113" t="str">
        <f>IFERROR(IF(COUNTIF(INDEX(#REF!,A277),"*Non-scientific*")&gt;0,IF(OR(IFERROR(MATCH("*PhD*",#REF!,0),0)&gt;0,IFERROR(MATCH("*PostDoc*",#REF!,0),0)&gt;0),"",$B$136),""),"")</f>
        <v/>
      </c>
      <c r="N277" s="113" t="str">
        <f>IFERROR(IF(COUNTIF(INDEX(#REF!,A277),"*Non-scientific*")&gt;0,IF(Total_NSP&gt;pers_max_NSP,$B$137,""),""),"")</f>
        <v/>
      </c>
      <c r="O277" s="113" t="str">
        <f>IFERROR(IF(COUNTIF(INDEX(#REF!,A277),"*Non-scientific*")&gt;0,IF(INDEX(#REF!,A277)*INDEX(#REF!,A277)&lt;pers_NSP_min_months,$B$138,""),""),"")</f>
        <v/>
      </c>
      <c r="P277" s="113" t="str">
        <f>IFERROR(IF(COUNTIF(INDEX(#REF!,A277),"*Non-scientific*")&gt;0,IF(INDEX(#REF!,A277)*INDEX(#REF!,A277)&gt;pers_NSP_max_months,$B$139,""),""),"")</f>
        <v/>
      </c>
      <c r="Q277" s="113" t="str">
        <f>IFERROR(IF(COUNTIF(INDEX(#REF!,A277),"*Other scientific*")&gt;0,IF(OR(IFERROR(MATCH("*PhD*",#REF!,0),0)&gt;0,IFERROR(MATCH("*PostDoc*",#REF!,0),0)&gt;0),"",$B$140),""),"")</f>
        <v/>
      </c>
      <c r="R277" s="113" t="str">
        <f>IFERROR(IF(COUNTIF(INDEX(#REF!,A277),"*Other scientific*")&gt;0,IF(Total_OSP&gt;pers_max_OSP,$B$141,""),""),"")</f>
        <v/>
      </c>
      <c r="S277" s="113" t="str">
        <f>IFERROR(IF(COUNTIF(INDEX(#REF!,A277),"*Other scientific*")&gt;0,IF(INDEX(#REF!,A277)*INDEX(#REF!,A277)&lt;pers_OSP_min_months,$B$142,""),""),"")</f>
        <v/>
      </c>
      <c r="T277" s="113" t="str">
        <f>IFERROR(IF(COUNTIF(INDEX(#REF!,A277),"*Other scientific*")&gt;0,IF(INDEX(#REF!,A277)*INDEX(#REF!,A277)&gt;pers_OSP_max_months,$B$143,""),""),"")</f>
        <v/>
      </c>
      <c r="U277" s="113" t="str">
        <f>IFERROR(IF(COUNTIF(INDEX(#REF!,A277),"*leave*")&gt;0,IF(Total_Research_leave&gt;pers_leave_maxperc*Total_NWO_funding,$B$144,""),""),"")</f>
        <v/>
      </c>
      <c r="V277" s="113" t="str">
        <f>IFERROR(IF(COUNTIF(INDEX(#REF!,A277),"*leave*")&gt;0,IF(Research_leave_FTE_months&gt;pers_leave_maxduration,$B$145,""),""),"")</f>
        <v/>
      </c>
      <c r="W277" s="113" t="str">
        <f>IFERROR(IF(AND(INDEX(#REF!,A277)=0,INDEX(salaries_academic[[category]:[1]],MATCH(INDEX(#REF!,A277),salaries_academic[category],0),3)=0),$B$148,""),"")</f>
        <v/>
      </c>
      <c r="X277" s="113" t="e">
        <f>IF(AND(organisation_type="yes",INDEX(#REF!,A277,1)&lt;&gt;"",ISBLANK(INDEX(#REF!,A277,1))),$B$146,"")</f>
        <v>#REF!</v>
      </c>
      <c r="Y277" s="113" t="e">
        <f>IF(AND(organisation_name="yes",INDEX(#REF!,A277,1)&lt;&gt;"",ISBLANK(INDEX(#REF!,A277,1))),$B$147,"")</f>
        <v>#REF!</v>
      </c>
      <c r="Z277" s="113" t="str">
        <f>IFERROR(IF(AND(INDEX(#REF!,A277)&gt;0,INDEX(salaries_academic[[category]:[1]],MATCH(INDEX(#REF!,A277),salaries_academic[category],0),3)&gt;0),$B$149,""),"")</f>
        <v/>
      </c>
    </row>
    <row r="278" spans="1:26" outlineLevel="1" x14ac:dyDescent="0.35">
      <c r="A278" s="113">
        <v>71</v>
      </c>
      <c r="B278" s="113" t="str">
        <f t="array" ref="B278">IFERROR(INDEX(personnel_ac_notes[[#This Row],[Exceeding nr months]:[Costs specified]],1,MATCH(TRUE,LEN(personnel_ac_notes[[#This Row],[Exceeding nr months]:[Costs specified]])&gt;0,0)),"")</f>
        <v/>
      </c>
      <c r="C278" s="113" t="str">
        <f>IFERROR(IF(INDEX(#REF!,A278)&gt;Max_project_duration,$B$128,""),"")</f>
        <v/>
      </c>
      <c r="D278" s="113" t="str">
        <f>IFERROR(IF(AND(LEN(INDEX(#REF!,A278))+LEN(INDEX(#REF!,A278))+LEN(INDEX(#REF!,A278))&gt;0,LEN(INDEX(#REF!,A278-1))+LEN(INDEX(#REF!,A278-1))+LEN(INDEX(#REF!,A278-1))=0),$B$127,""),"")</f>
        <v/>
      </c>
      <c r="E278" s="113" t="str">
        <f>IF(AND(NOT(ISBLANK(INDEX(#REF!,A278))),OR(ISBLANK(INDEX(#REF!,A278)),ISBLANK(INDEX(#REF!,A278)))),VLOOKUP(INDEX(#REF!,A278),salaries_academic[],2,FALSE),"")</f>
        <v/>
      </c>
      <c r="F278" s="113" t="str">
        <f>IFERROR(IF(COUNTIF(INDEX(#REF!,A278),"*- PhD*")&gt;0,IF(INDEX(#REF!,A278)*INDEX(#REF!,A278)&lt;pers_PhD_min_months,$B$129,""),""),"")</f>
        <v/>
      </c>
      <c r="G278" s="113" t="str">
        <f>IFERROR(IF(COUNTIF(INDEX(#REF!,$A278),"*- PhD*")&gt;0,IF(INDEX(#REF!,$A278)*INDEX(#REF!,$A278)&gt;pers_PhD_max_months,$B$130,""),""),"")</f>
        <v/>
      </c>
      <c r="H278" s="113" t="str">
        <f>IFERROR(IF(COUNTIF(INDEX(#REF!,A278),"*year*")&gt;0,IF(INDEX(#REF!,A278)*INDEX(#REF!,A278)&lt;pers_3yPhD_min_months,$B$131,""),""),"")</f>
        <v/>
      </c>
      <c r="I278" s="113" t="str">
        <f>IFERROR(IF(COUNTIF(INDEX(#REF!,A278),"*PDEng*")&gt;0,IF(OR(IFERROR(MATCH("*PhD*",#REF!,0),0)&gt;0,IFERROR(MATCH("*PostDoc*",#REF!,0),0)&gt;0),"",$B$132),""),"")</f>
        <v/>
      </c>
      <c r="J278" s="113" t="str">
        <f>IFERROR(IF(COUNTIF(INDEX(#REF!,A278),"*PDEng*")&gt;0,IF(INDEX(#REF!,A278)*INDEX(#REF!,A278)&gt;pers_PDEng_max_months,$B$133,""),""),"")</f>
        <v/>
      </c>
      <c r="K278" s="113" t="str">
        <f>IFERROR(IF(COUNTIF(INDEX(#REF!,A278),"*PostDoc*")&gt;0,IF(INDEX(#REF!,A278)*INDEX(#REF!,A278)&lt;pers_PD_min_months,$B$134,""),""),"")</f>
        <v/>
      </c>
      <c r="L278" s="113" t="str">
        <f>IFERROR(IF(COUNTIF(INDEX(#REF!,A278),"*PostDoc*")&gt;0,IF(INDEX(#REF!,A278)*INDEX(#REF!,A278)&gt;pers_PD_max_months,$B$135,""),""),"")</f>
        <v/>
      </c>
      <c r="M278" s="113" t="str">
        <f>IFERROR(IF(COUNTIF(INDEX(#REF!,A278),"*Non-scientific*")&gt;0,IF(OR(IFERROR(MATCH("*PhD*",#REF!,0),0)&gt;0,IFERROR(MATCH("*PostDoc*",#REF!,0),0)&gt;0),"",$B$136),""),"")</f>
        <v/>
      </c>
      <c r="N278" s="113" t="str">
        <f>IFERROR(IF(COUNTIF(INDEX(#REF!,A278),"*Non-scientific*")&gt;0,IF(Total_NSP&gt;pers_max_NSP,$B$137,""),""),"")</f>
        <v/>
      </c>
      <c r="O278" s="113" t="str">
        <f>IFERROR(IF(COUNTIF(INDEX(#REF!,A278),"*Non-scientific*")&gt;0,IF(INDEX(#REF!,A278)*INDEX(#REF!,A278)&lt;pers_NSP_min_months,$B$138,""),""),"")</f>
        <v/>
      </c>
      <c r="P278" s="113" t="str">
        <f>IFERROR(IF(COUNTIF(INDEX(#REF!,A278),"*Non-scientific*")&gt;0,IF(INDEX(#REF!,A278)*INDEX(#REF!,A278)&gt;pers_NSP_max_months,$B$139,""),""),"")</f>
        <v/>
      </c>
      <c r="Q278" s="113" t="str">
        <f>IFERROR(IF(COUNTIF(INDEX(#REF!,A278),"*Other scientific*")&gt;0,IF(OR(IFERROR(MATCH("*PhD*",#REF!,0),0)&gt;0,IFERROR(MATCH("*PostDoc*",#REF!,0),0)&gt;0),"",$B$140),""),"")</f>
        <v/>
      </c>
      <c r="R278" s="113" t="str">
        <f>IFERROR(IF(COUNTIF(INDEX(#REF!,A278),"*Other scientific*")&gt;0,IF(Total_OSP&gt;pers_max_OSP,$B$141,""),""),"")</f>
        <v/>
      </c>
      <c r="S278" s="113" t="str">
        <f>IFERROR(IF(COUNTIF(INDEX(#REF!,A278),"*Other scientific*")&gt;0,IF(INDEX(#REF!,A278)*INDEX(#REF!,A278)&lt;pers_OSP_min_months,$B$142,""),""),"")</f>
        <v/>
      </c>
      <c r="T278" s="113" t="str">
        <f>IFERROR(IF(COUNTIF(INDEX(#REF!,A278),"*Other scientific*")&gt;0,IF(INDEX(#REF!,A278)*INDEX(#REF!,A278)&gt;pers_OSP_max_months,$B$143,""),""),"")</f>
        <v/>
      </c>
      <c r="U278" s="113" t="str">
        <f>IFERROR(IF(COUNTIF(INDEX(#REF!,A278),"*leave*")&gt;0,IF(Total_Research_leave&gt;pers_leave_maxperc*Total_NWO_funding,$B$144,""),""),"")</f>
        <v/>
      </c>
      <c r="V278" s="113" t="str">
        <f>IFERROR(IF(COUNTIF(INDEX(#REF!,A278),"*leave*")&gt;0,IF(Research_leave_FTE_months&gt;pers_leave_maxduration,$B$145,""),""),"")</f>
        <v/>
      </c>
      <c r="W278" s="113" t="str">
        <f>IFERROR(IF(AND(INDEX(#REF!,A278)=0,INDEX(salaries_academic[[category]:[1]],MATCH(INDEX(#REF!,A278),salaries_academic[category],0),3)=0),$B$148,""),"")</f>
        <v/>
      </c>
      <c r="X278" s="113" t="e">
        <f>IF(AND(organisation_type="yes",INDEX(#REF!,A278,1)&lt;&gt;"",ISBLANK(INDEX(#REF!,A278,1))),$B$146,"")</f>
        <v>#REF!</v>
      </c>
      <c r="Y278" s="113" t="e">
        <f>IF(AND(organisation_name="yes",INDEX(#REF!,A278,1)&lt;&gt;"",ISBLANK(INDEX(#REF!,A278,1))),$B$147,"")</f>
        <v>#REF!</v>
      </c>
      <c r="Z278" s="113" t="str">
        <f>IFERROR(IF(AND(INDEX(#REF!,A278)&gt;0,INDEX(salaries_academic[[category]:[1]],MATCH(INDEX(#REF!,A278),salaries_academic[category],0),3)&gt;0),$B$149,""),"")</f>
        <v/>
      </c>
    </row>
    <row r="279" spans="1:26" outlineLevel="1" x14ac:dyDescent="0.35">
      <c r="A279" s="113">
        <v>72</v>
      </c>
      <c r="B279" s="113" t="str">
        <f t="array" ref="B279">IFERROR(INDEX(personnel_ac_notes[[#This Row],[Exceeding nr months]:[Costs specified]],1,MATCH(TRUE,LEN(personnel_ac_notes[[#This Row],[Exceeding nr months]:[Costs specified]])&gt;0,0)),"")</f>
        <v/>
      </c>
      <c r="C279" s="113" t="str">
        <f>IFERROR(IF(INDEX(#REF!,A279)&gt;Max_project_duration,$B$128,""),"")</f>
        <v/>
      </c>
      <c r="D279" s="113" t="str">
        <f>IFERROR(IF(AND(LEN(INDEX(#REF!,A279))+LEN(INDEX(#REF!,A279))+LEN(INDEX(#REF!,A279))&gt;0,LEN(INDEX(#REF!,A279-1))+LEN(INDEX(#REF!,A279-1))+LEN(INDEX(#REF!,A279-1))=0),$B$127,""),"")</f>
        <v/>
      </c>
      <c r="E279" s="113" t="str">
        <f>IF(AND(NOT(ISBLANK(INDEX(#REF!,A279))),OR(ISBLANK(INDEX(#REF!,A279)),ISBLANK(INDEX(#REF!,A279)))),VLOOKUP(INDEX(#REF!,A279),salaries_academic[],2,FALSE),"")</f>
        <v/>
      </c>
      <c r="F279" s="113" t="str">
        <f>IFERROR(IF(COUNTIF(INDEX(#REF!,A279),"*- PhD*")&gt;0,IF(INDEX(#REF!,A279)*INDEX(#REF!,A279)&lt;pers_PhD_min_months,$B$129,""),""),"")</f>
        <v/>
      </c>
      <c r="G279" s="113" t="str">
        <f>IFERROR(IF(COUNTIF(INDEX(#REF!,$A279),"*- PhD*")&gt;0,IF(INDEX(#REF!,$A279)*INDEX(#REF!,$A279)&gt;pers_PhD_max_months,$B$130,""),""),"")</f>
        <v/>
      </c>
      <c r="H279" s="113" t="str">
        <f>IFERROR(IF(COUNTIF(INDEX(#REF!,A279),"*year*")&gt;0,IF(INDEX(#REF!,A279)*INDEX(#REF!,A279)&lt;pers_3yPhD_min_months,$B$131,""),""),"")</f>
        <v/>
      </c>
      <c r="I279" s="113" t="str">
        <f>IFERROR(IF(COUNTIF(INDEX(#REF!,A279),"*PDEng*")&gt;0,IF(OR(IFERROR(MATCH("*PhD*",#REF!,0),0)&gt;0,IFERROR(MATCH("*PostDoc*",#REF!,0),0)&gt;0),"",$B$132),""),"")</f>
        <v/>
      </c>
      <c r="J279" s="113" t="str">
        <f>IFERROR(IF(COUNTIF(INDEX(#REF!,A279),"*PDEng*")&gt;0,IF(INDEX(#REF!,A279)*INDEX(#REF!,A279)&gt;pers_PDEng_max_months,$B$133,""),""),"")</f>
        <v/>
      </c>
      <c r="K279" s="113" t="str">
        <f>IFERROR(IF(COUNTIF(INDEX(#REF!,A279),"*PostDoc*")&gt;0,IF(INDEX(#REF!,A279)*INDEX(#REF!,A279)&lt;pers_PD_min_months,$B$134,""),""),"")</f>
        <v/>
      </c>
      <c r="L279" s="113" t="str">
        <f>IFERROR(IF(COUNTIF(INDEX(#REF!,A279),"*PostDoc*")&gt;0,IF(INDEX(#REF!,A279)*INDEX(#REF!,A279)&gt;pers_PD_max_months,$B$135,""),""),"")</f>
        <v/>
      </c>
      <c r="M279" s="113" t="str">
        <f>IFERROR(IF(COUNTIF(INDEX(#REF!,A279),"*Non-scientific*")&gt;0,IF(OR(IFERROR(MATCH("*PhD*",#REF!,0),0)&gt;0,IFERROR(MATCH("*PostDoc*",#REF!,0),0)&gt;0),"",$B$136),""),"")</f>
        <v/>
      </c>
      <c r="N279" s="113" t="str">
        <f>IFERROR(IF(COUNTIF(INDEX(#REF!,A279),"*Non-scientific*")&gt;0,IF(Total_NSP&gt;pers_max_NSP,$B$137,""),""),"")</f>
        <v/>
      </c>
      <c r="O279" s="113" t="str">
        <f>IFERROR(IF(COUNTIF(INDEX(#REF!,A279),"*Non-scientific*")&gt;0,IF(INDEX(#REF!,A279)*INDEX(#REF!,A279)&lt;pers_NSP_min_months,$B$138,""),""),"")</f>
        <v/>
      </c>
      <c r="P279" s="113" t="str">
        <f>IFERROR(IF(COUNTIF(INDEX(#REF!,A279),"*Non-scientific*")&gt;0,IF(INDEX(#REF!,A279)*INDEX(#REF!,A279)&gt;pers_NSP_max_months,$B$139,""),""),"")</f>
        <v/>
      </c>
      <c r="Q279" s="113" t="str">
        <f>IFERROR(IF(COUNTIF(INDEX(#REF!,A279),"*Other scientific*")&gt;0,IF(OR(IFERROR(MATCH("*PhD*",#REF!,0),0)&gt;0,IFERROR(MATCH("*PostDoc*",#REF!,0),0)&gt;0),"",$B$140),""),"")</f>
        <v/>
      </c>
      <c r="R279" s="113" t="str">
        <f>IFERROR(IF(COUNTIF(INDEX(#REF!,A279),"*Other scientific*")&gt;0,IF(Total_OSP&gt;pers_max_OSP,$B$141,""),""),"")</f>
        <v/>
      </c>
      <c r="S279" s="113" t="str">
        <f>IFERROR(IF(COUNTIF(INDEX(#REF!,A279),"*Other scientific*")&gt;0,IF(INDEX(#REF!,A279)*INDEX(#REF!,A279)&lt;pers_OSP_min_months,$B$142,""),""),"")</f>
        <v/>
      </c>
      <c r="T279" s="113" t="str">
        <f>IFERROR(IF(COUNTIF(INDEX(#REF!,A279),"*Other scientific*")&gt;0,IF(INDEX(#REF!,A279)*INDEX(#REF!,A279)&gt;pers_OSP_max_months,$B$143,""),""),"")</f>
        <v/>
      </c>
      <c r="U279" s="113" t="str">
        <f>IFERROR(IF(COUNTIF(INDEX(#REF!,A279),"*leave*")&gt;0,IF(Total_Research_leave&gt;pers_leave_maxperc*Total_NWO_funding,$B$144,""),""),"")</f>
        <v/>
      </c>
      <c r="V279" s="113" t="str">
        <f>IFERROR(IF(COUNTIF(INDEX(#REF!,A279),"*leave*")&gt;0,IF(Research_leave_FTE_months&gt;pers_leave_maxduration,$B$145,""),""),"")</f>
        <v/>
      </c>
      <c r="W279" s="113" t="str">
        <f>IFERROR(IF(AND(INDEX(#REF!,A279)=0,INDEX(salaries_academic[[category]:[1]],MATCH(INDEX(#REF!,A279),salaries_academic[category],0),3)=0),$B$148,""),"")</f>
        <v/>
      </c>
      <c r="X279" s="113" t="e">
        <f>IF(AND(organisation_type="yes",INDEX(#REF!,A279,1)&lt;&gt;"",ISBLANK(INDEX(#REF!,A279,1))),$B$146,"")</f>
        <v>#REF!</v>
      </c>
      <c r="Y279" s="113" t="e">
        <f>IF(AND(organisation_name="yes",INDEX(#REF!,A279,1)&lt;&gt;"",ISBLANK(INDEX(#REF!,A279,1))),$B$147,"")</f>
        <v>#REF!</v>
      </c>
      <c r="Z279" s="113" t="str">
        <f>IFERROR(IF(AND(INDEX(#REF!,A279)&gt;0,INDEX(salaries_academic[[category]:[1]],MATCH(INDEX(#REF!,A279),salaries_academic[category],0),3)&gt;0),$B$149,""),"")</f>
        <v/>
      </c>
    </row>
    <row r="280" spans="1:26" outlineLevel="1" x14ac:dyDescent="0.35">
      <c r="A280" s="113">
        <v>73</v>
      </c>
      <c r="B280" s="113" t="str">
        <f t="array" ref="B280">IFERROR(INDEX(personnel_ac_notes[[#This Row],[Exceeding nr months]:[Costs specified]],1,MATCH(TRUE,LEN(personnel_ac_notes[[#This Row],[Exceeding nr months]:[Costs specified]])&gt;0,0)),"")</f>
        <v/>
      </c>
      <c r="C280" s="113" t="str">
        <f>IFERROR(IF(INDEX(#REF!,A280)&gt;Max_project_duration,$B$128,""),"")</f>
        <v/>
      </c>
      <c r="D280" s="113" t="str">
        <f>IFERROR(IF(AND(LEN(INDEX(#REF!,A280))+LEN(INDEX(#REF!,A280))+LEN(INDEX(#REF!,A280))&gt;0,LEN(INDEX(#REF!,A280-1))+LEN(INDEX(#REF!,A280-1))+LEN(INDEX(#REF!,A280-1))=0),$B$127,""),"")</f>
        <v/>
      </c>
      <c r="E280" s="113" t="str">
        <f>IF(AND(NOT(ISBLANK(INDEX(#REF!,A280))),OR(ISBLANK(INDEX(#REF!,A280)),ISBLANK(INDEX(#REF!,A280)))),VLOOKUP(INDEX(#REF!,A280),salaries_academic[],2,FALSE),"")</f>
        <v/>
      </c>
      <c r="F280" s="113" t="str">
        <f>IFERROR(IF(COUNTIF(INDEX(#REF!,A280),"*- PhD*")&gt;0,IF(INDEX(#REF!,A280)*INDEX(#REF!,A280)&lt;pers_PhD_min_months,$B$129,""),""),"")</f>
        <v/>
      </c>
      <c r="G280" s="113" t="str">
        <f>IFERROR(IF(COUNTIF(INDEX(#REF!,$A280),"*- PhD*")&gt;0,IF(INDEX(#REF!,$A280)*INDEX(#REF!,$A280)&gt;pers_PhD_max_months,$B$130,""),""),"")</f>
        <v/>
      </c>
      <c r="H280" s="113" t="str">
        <f>IFERROR(IF(COUNTIF(INDEX(#REF!,A280),"*year*")&gt;0,IF(INDEX(#REF!,A280)*INDEX(#REF!,A280)&lt;pers_3yPhD_min_months,$B$131,""),""),"")</f>
        <v/>
      </c>
      <c r="I280" s="113" t="str">
        <f>IFERROR(IF(COUNTIF(INDEX(#REF!,A280),"*PDEng*")&gt;0,IF(OR(IFERROR(MATCH("*PhD*",#REF!,0),0)&gt;0,IFERROR(MATCH("*PostDoc*",#REF!,0),0)&gt;0),"",$B$132),""),"")</f>
        <v/>
      </c>
      <c r="J280" s="113" t="str">
        <f>IFERROR(IF(COUNTIF(INDEX(#REF!,A280),"*PDEng*")&gt;0,IF(INDEX(#REF!,A280)*INDEX(#REF!,A280)&gt;pers_PDEng_max_months,$B$133,""),""),"")</f>
        <v/>
      </c>
      <c r="K280" s="113" t="str">
        <f>IFERROR(IF(COUNTIF(INDEX(#REF!,A280),"*PostDoc*")&gt;0,IF(INDEX(#REF!,A280)*INDEX(#REF!,A280)&lt;pers_PD_min_months,$B$134,""),""),"")</f>
        <v/>
      </c>
      <c r="L280" s="113" t="str">
        <f>IFERROR(IF(COUNTIF(INDEX(#REF!,A280),"*PostDoc*")&gt;0,IF(INDEX(#REF!,A280)*INDEX(#REF!,A280)&gt;pers_PD_max_months,$B$135,""),""),"")</f>
        <v/>
      </c>
      <c r="M280" s="113" t="str">
        <f>IFERROR(IF(COUNTIF(INDEX(#REF!,A280),"*Non-scientific*")&gt;0,IF(OR(IFERROR(MATCH("*PhD*",#REF!,0),0)&gt;0,IFERROR(MATCH("*PostDoc*",#REF!,0),0)&gt;0),"",$B$136),""),"")</f>
        <v/>
      </c>
      <c r="N280" s="113" t="str">
        <f>IFERROR(IF(COUNTIF(INDEX(#REF!,A280),"*Non-scientific*")&gt;0,IF(Total_NSP&gt;pers_max_NSP,$B$137,""),""),"")</f>
        <v/>
      </c>
      <c r="O280" s="113" t="str">
        <f>IFERROR(IF(COUNTIF(INDEX(#REF!,A280),"*Non-scientific*")&gt;0,IF(INDEX(#REF!,A280)*INDEX(#REF!,A280)&lt;pers_NSP_min_months,$B$138,""),""),"")</f>
        <v/>
      </c>
      <c r="P280" s="113" t="str">
        <f>IFERROR(IF(COUNTIF(INDEX(#REF!,A280),"*Non-scientific*")&gt;0,IF(INDEX(#REF!,A280)*INDEX(#REF!,A280)&gt;pers_NSP_max_months,$B$139,""),""),"")</f>
        <v/>
      </c>
      <c r="Q280" s="113" t="str">
        <f>IFERROR(IF(COUNTIF(INDEX(#REF!,A280),"*Other scientific*")&gt;0,IF(OR(IFERROR(MATCH("*PhD*",#REF!,0),0)&gt;0,IFERROR(MATCH("*PostDoc*",#REF!,0),0)&gt;0),"",$B$140),""),"")</f>
        <v/>
      </c>
      <c r="R280" s="113" t="str">
        <f>IFERROR(IF(COUNTIF(INDEX(#REF!,A280),"*Other scientific*")&gt;0,IF(Total_OSP&gt;pers_max_OSP,$B$141,""),""),"")</f>
        <v/>
      </c>
      <c r="S280" s="113" t="str">
        <f>IFERROR(IF(COUNTIF(INDEX(#REF!,A280),"*Other scientific*")&gt;0,IF(INDEX(#REF!,A280)*INDEX(#REF!,A280)&lt;pers_OSP_min_months,$B$142,""),""),"")</f>
        <v/>
      </c>
      <c r="T280" s="113" t="str">
        <f>IFERROR(IF(COUNTIF(INDEX(#REF!,A280),"*Other scientific*")&gt;0,IF(INDEX(#REF!,A280)*INDEX(#REF!,A280)&gt;pers_OSP_max_months,$B$143,""),""),"")</f>
        <v/>
      </c>
      <c r="U280" s="113" t="str">
        <f>IFERROR(IF(COUNTIF(INDEX(#REF!,A280),"*leave*")&gt;0,IF(Total_Research_leave&gt;pers_leave_maxperc*Total_NWO_funding,$B$144,""),""),"")</f>
        <v/>
      </c>
      <c r="V280" s="113" t="str">
        <f>IFERROR(IF(COUNTIF(INDEX(#REF!,A280),"*leave*")&gt;0,IF(Research_leave_FTE_months&gt;pers_leave_maxduration,$B$145,""),""),"")</f>
        <v/>
      </c>
      <c r="W280" s="113" t="str">
        <f>IFERROR(IF(AND(INDEX(#REF!,A280)=0,INDEX(salaries_academic[[category]:[1]],MATCH(INDEX(#REF!,A280),salaries_academic[category],0),3)=0),$B$148,""),"")</f>
        <v/>
      </c>
      <c r="X280" s="113" t="e">
        <f>IF(AND(organisation_type="yes",INDEX(#REF!,A280,1)&lt;&gt;"",ISBLANK(INDEX(#REF!,A280,1))),$B$146,"")</f>
        <v>#REF!</v>
      </c>
      <c r="Y280" s="113" t="e">
        <f>IF(AND(organisation_name="yes",INDEX(#REF!,A280,1)&lt;&gt;"",ISBLANK(INDEX(#REF!,A280,1))),$B$147,"")</f>
        <v>#REF!</v>
      </c>
      <c r="Z280" s="113" t="str">
        <f>IFERROR(IF(AND(INDEX(#REF!,A280)&gt;0,INDEX(salaries_academic[[category]:[1]],MATCH(INDEX(#REF!,A280),salaries_academic[category],0),3)&gt;0),$B$149,""),"")</f>
        <v/>
      </c>
    </row>
    <row r="281" spans="1:26" outlineLevel="1" x14ac:dyDescent="0.35">
      <c r="A281" s="113">
        <v>74</v>
      </c>
      <c r="B281" s="113" t="str">
        <f t="array" ref="B281">IFERROR(INDEX(personnel_ac_notes[[#This Row],[Exceeding nr months]:[Costs specified]],1,MATCH(TRUE,LEN(personnel_ac_notes[[#This Row],[Exceeding nr months]:[Costs specified]])&gt;0,0)),"")</f>
        <v/>
      </c>
      <c r="C281" s="113" t="str">
        <f>IFERROR(IF(INDEX(#REF!,A281)&gt;Max_project_duration,$B$128,""),"")</f>
        <v/>
      </c>
      <c r="D281" s="113" t="str">
        <f>IFERROR(IF(AND(LEN(INDEX(#REF!,A281))+LEN(INDEX(#REF!,A281))+LEN(INDEX(#REF!,A281))&gt;0,LEN(INDEX(#REF!,A281-1))+LEN(INDEX(#REF!,A281-1))+LEN(INDEX(#REF!,A281-1))=0),$B$127,""),"")</f>
        <v/>
      </c>
      <c r="E281" s="113" t="str">
        <f>IF(AND(NOT(ISBLANK(INDEX(#REF!,A281))),OR(ISBLANK(INDEX(#REF!,A281)),ISBLANK(INDEX(#REF!,A281)))),VLOOKUP(INDEX(#REF!,A281),salaries_academic[],2,FALSE),"")</f>
        <v/>
      </c>
      <c r="F281" s="113" t="str">
        <f>IFERROR(IF(COUNTIF(INDEX(#REF!,A281),"*- PhD*")&gt;0,IF(INDEX(#REF!,A281)*INDEX(#REF!,A281)&lt;pers_PhD_min_months,$B$129,""),""),"")</f>
        <v/>
      </c>
      <c r="G281" s="113" t="str">
        <f>IFERROR(IF(COUNTIF(INDEX(#REF!,$A281),"*- PhD*")&gt;0,IF(INDEX(#REF!,$A281)*INDEX(#REF!,$A281)&gt;pers_PhD_max_months,$B$130,""),""),"")</f>
        <v/>
      </c>
      <c r="H281" s="113" t="str">
        <f>IFERROR(IF(COUNTIF(INDEX(#REF!,A281),"*year*")&gt;0,IF(INDEX(#REF!,A281)*INDEX(#REF!,A281)&lt;pers_3yPhD_min_months,$B$131,""),""),"")</f>
        <v/>
      </c>
      <c r="I281" s="113" t="str">
        <f>IFERROR(IF(COUNTIF(INDEX(#REF!,A281),"*PDEng*")&gt;0,IF(OR(IFERROR(MATCH("*PhD*",#REF!,0),0)&gt;0,IFERROR(MATCH("*PostDoc*",#REF!,0),0)&gt;0),"",$B$132),""),"")</f>
        <v/>
      </c>
      <c r="J281" s="113" t="str">
        <f>IFERROR(IF(COUNTIF(INDEX(#REF!,A281),"*PDEng*")&gt;0,IF(INDEX(#REF!,A281)*INDEX(#REF!,A281)&gt;pers_PDEng_max_months,$B$133,""),""),"")</f>
        <v/>
      </c>
      <c r="K281" s="113" t="str">
        <f>IFERROR(IF(COUNTIF(INDEX(#REF!,A281),"*PostDoc*")&gt;0,IF(INDEX(#REF!,A281)*INDEX(#REF!,A281)&lt;pers_PD_min_months,$B$134,""),""),"")</f>
        <v/>
      </c>
      <c r="L281" s="113" t="str">
        <f>IFERROR(IF(COUNTIF(INDEX(#REF!,A281),"*PostDoc*")&gt;0,IF(INDEX(#REF!,A281)*INDEX(#REF!,A281)&gt;pers_PD_max_months,$B$135,""),""),"")</f>
        <v/>
      </c>
      <c r="M281" s="113" t="str">
        <f>IFERROR(IF(COUNTIF(INDEX(#REF!,A281),"*Non-scientific*")&gt;0,IF(OR(IFERROR(MATCH("*PhD*",#REF!,0),0)&gt;0,IFERROR(MATCH("*PostDoc*",#REF!,0),0)&gt;0),"",$B$136),""),"")</f>
        <v/>
      </c>
      <c r="N281" s="113" t="str">
        <f>IFERROR(IF(COUNTIF(INDEX(#REF!,A281),"*Non-scientific*")&gt;0,IF(Total_NSP&gt;pers_max_NSP,$B$137,""),""),"")</f>
        <v/>
      </c>
      <c r="O281" s="113" t="str">
        <f>IFERROR(IF(COUNTIF(INDEX(#REF!,A281),"*Non-scientific*")&gt;0,IF(INDEX(#REF!,A281)*INDEX(#REF!,A281)&lt;pers_NSP_min_months,$B$138,""),""),"")</f>
        <v/>
      </c>
      <c r="P281" s="113" t="str">
        <f>IFERROR(IF(COUNTIF(INDEX(#REF!,A281),"*Non-scientific*")&gt;0,IF(INDEX(#REF!,A281)*INDEX(#REF!,A281)&gt;pers_NSP_max_months,$B$139,""),""),"")</f>
        <v/>
      </c>
      <c r="Q281" s="113" t="str">
        <f>IFERROR(IF(COUNTIF(INDEX(#REF!,A281),"*Other scientific*")&gt;0,IF(OR(IFERROR(MATCH("*PhD*",#REF!,0),0)&gt;0,IFERROR(MATCH("*PostDoc*",#REF!,0),0)&gt;0),"",$B$140),""),"")</f>
        <v/>
      </c>
      <c r="R281" s="113" t="str">
        <f>IFERROR(IF(COUNTIF(INDEX(#REF!,A281),"*Other scientific*")&gt;0,IF(Total_OSP&gt;pers_max_OSP,$B$141,""),""),"")</f>
        <v/>
      </c>
      <c r="S281" s="113" t="str">
        <f>IFERROR(IF(COUNTIF(INDEX(#REF!,A281),"*Other scientific*")&gt;0,IF(INDEX(#REF!,A281)*INDEX(#REF!,A281)&lt;pers_OSP_min_months,$B$142,""),""),"")</f>
        <v/>
      </c>
      <c r="T281" s="113" t="str">
        <f>IFERROR(IF(COUNTIF(INDEX(#REF!,A281),"*Other scientific*")&gt;0,IF(INDEX(#REF!,A281)*INDEX(#REF!,A281)&gt;pers_OSP_max_months,$B$143,""),""),"")</f>
        <v/>
      </c>
      <c r="U281" s="113" t="str">
        <f>IFERROR(IF(COUNTIF(INDEX(#REF!,A281),"*leave*")&gt;0,IF(Total_Research_leave&gt;pers_leave_maxperc*Total_NWO_funding,$B$144,""),""),"")</f>
        <v/>
      </c>
      <c r="V281" s="113" t="str">
        <f>IFERROR(IF(COUNTIF(INDEX(#REF!,A281),"*leave*")&gt;0,IF(Research_leave_FTE_months&gt;pers_leave_maxduration,$B$145,""),""),"")</f>
        <v/>
      </c>
      <c r="W281" s="113" t="str">
        <f>IFERROR(IF(AND(INDEX(#REF!,A281)=0,INDEX(salaries_academic[[category]:[1]],MATCH(INDEX(#REF!,A281),salaries_academic[category],0),3)=0),$B$148,""),"")</f>
        <v/>
      </c>
      <c r="X281" s="113" t="e">
        <f>IF(AND(organisation_type="yes",INDEX(#REF!,A281,1)&lt;&gt;"",ISBLANK(INDEX(#REF!,A281,1))),$B$146,"")</f>
        <v>#REF!</v>
      </c>
      <c r="Y281" s="113" t="e">
        <f>IF(AND(organisation_name="yes",INDEX(#REF!,A281,1)&lt;&gt;"",ISBLANK(INDEX(#REF!,A281,1))),$B$147,"")</f>
        <v>#REF!</v>
      </c>
      <c r="Z281" s="113" t="str">
        <f>IFERROR(IF(AND(INDEX(#REF!,A281)&gt;0,INDEX(salaries_academic[[category]:[1]],MATCH(INDEX(#REF!,A281),salaries_academic[category],0),3)&gt;0),$B$149,""),"")</f>
        <v/>
      </c>
    </row>
    <row r="282" spans="1:26" outlineLevel="1" x14ac:dyDescent="0.35">
      <c r="A282" s="113">
        <v>75</v>
      </c>
      <c r="B282" s="113" t="str">
        <f t="array" ref="B282">IFERROR(INDEX(personnel_ac_notes[[#This Row],[Exceeding nr months]:[Costs specified]],1,MATCH(TRUE,LEN(personnel_ac_notes[[#This Row],[Exceeding nr months]:[Costs specified]])&gt;0,0)),"")</f>
        <v/>
      </c>
      <c r="C282" s="113" t="str">
        <f>IFERROR(IF(INDEX(#REF!,A282)&gt;Max_project_duration,$B$128,""),"")</f>
        <v/>
      </c>
      <c r="D282" s="113" t="str">
        <f>IFERROR(IF(AND(LEN(INDEX(#REF!,A282))+LEN(INDEX(#REF!,A282))+LEN(INDEX(#REF!,A282))&gt;0,LEN(INDEX(#REF!,A282-1))+LEN(INDEX(#REF!,A282-1))+LEN(INDEX(#REF!,A282-1))=0),$B$127,""),"")</f>
        <v/>
      </c>
      <c r="E282" s="113" t="str">
        <f>IF(AND(NOT(ISBLANK(INDEX(#REF!,A282))),OR(ISBLANK(INDEX(#REF!,A282)),ISBLANK(INDEX(#REF!,A282)))),VLOOKUP(INDEX(#REF!,A282),salaries_academic[],2,FALSE),"")</f>
        <v/>
      </c>
      <c r="F282" s="113" t="str">
        <f>IFERROR(IF(COUNTIF(INDEX(#REF!,A282),"*- PhD*")&gt;0,IF(INDEX(#REF!,A282)*INDEX(#REF!,A282)&lt;pers_PhD_min_months,$B$129,""),""),"")</f>
        <v/>
      </c>
      <c r="G282" s="113" t="str">
        <f>IFERROR(IF(COUNTIF(INDEX(#REF!,$A282),"*- PhD*")&gt;0,IF(INDEX(#REF!,$A282)*INDEX(#REF!,$A282)&gt;pers_PhD_max_months,$B$130,""),""),"")</f>
        <v/>
      </c>
      <c r="H282" s="113" t="str">
        <f>IFERROR(IF(COUNTIF(INDEX(#REF!,A282),"*year*")&gt;0,IF(INDEX(#REF!,A282)*INDEX(#REF!,A282)&lt;pers_3yPhD_min_months,$B$131,""),""),"")</f>
        <v/>
      </c>
      <c r="I282" s="113" t="str">
        <f>IFERROR(IF(COUNTIF(INDEX(#REF!,A282),"*PDEng*")&gt;0,IF(OR(IFERROR(MATCH("*PhD*",#REF!,0),0)&gt;0,IFERROR(MATCH("*PostDoc*",#REF!,0),0)&gt;0),"",$B$132),""),"")</f>
        <v/>
      </c>
      <c r="J282" s="113" t="str">
        <f>IFERROR(IF(COUNTIF(INDEX(#REF!,A282),"*PDEng*")&gt;0,IF(INDEX(#REF!,A282)*INDEX(#REF!,A282)&gt;pers_PDEng_max_months,$B$133,""),""),"")</f>
        <v/>
      </c>
      <c r="K282" s="113" t="str">
        <f>IFERROR(IF(COUNTIF(INDEX(#REF!,A282),"*PostDoc*")&gt;0,IF(INDEX(#REF!,A282)*INDEX(#REF!,A282)&lt;pers_PD_min_months,$B$134,""),""),"")</f>
        <v/>
      </c>
      <c r="L282" s="113" t="str">
        <f>IFERROR(IF(COUNTIF(INDEX(#REF!,A282),"*PostDoc*")&gt;0,IF(INDEX(#REF!,A282)*INDEX(#REF!,A282)&gt;pers_PD_max_months,$B$135,""),""),"")</f>
        <v/>
      </c>
      <c r="M282" s="113" t="str">
        <f>IFERROR(IF(COUNTIF(INDEX(#REF!,A282),"*Non-scientific*")&gt;0,IF(OR(IFERROR(MATCH("*PhD*",#REF!,0),0)&gt;0,IFERROR(MATCH("*PostDoc*",#REF!,0),0)&gt;0),"",$B$136),""),"")</f>
        <v/>
      </c>
      <c r="N282" s="113" t="str">
        <f>IFERROR(IF(COUNTIF(INDEX(#REF!,A282),"*Non-scientific*")&gt;0,IF(Total_NSP&gt;pers_max_NSP,$B$137,""),""),"")</f>
        <v/>
      </c>
      <c r="O282" s="113" t="str">
        <f>IFERROR(IF(COUNTIF(INDEX(#REF!,A282),"*Non-scientific*")&gt;0,IF(INDEX(#REF!,A282)*INDEX(#REF!,A282)&lt;pers_NSP_min_months,$B$138,""),""),"")</f>
        <v/>
      </c>
      <c r="P282" s="113" t="str">
        <f>IFERROR(IF(COUNTIF(INDEX(#REF!,A282),"*Non-scientific*")&gt;0,IF(INDEX(#REF!,A282)*INDEX(#REF!,A282)&gt;pers_NSP_max_months,$B$139,""),""),"")</f>
        <v/>
      </c>
      <c r="Q282" s="113" t="str">
        <f>IFERROR(IF(COUNTIF(INDEX(#REF!,A282),"*Other scientific*")&gt;0,IF(OR(IFERROR(MATCH("*PhD*",#REF!,0),0)&gt;0,IFERROR(MATCH("*PostDoc*",#REF!,0),0)&gt;0),"",$B$140),""),"")</f>
        <v/>
      </c>
      <c r="R282" s="113" t="str">
        <f>IFERROR(IF(COUNTIF(INDEX(#REF!,A282),"*Other scientific*")&gt;0,IF(Total_OSP&gt;pers_max_OSP,$B$141,""),""),"")</f>
        <v/>
      </c>
      <c r="S282" s="113" t="str">
        <f>IFERROR(IF(COUNTIF(INDEX(#REF!,A282),"*Other scientific*")&gt;0,IF(INDEX(#REF!,A282)*INDEX(#REF!,A282)&lt;pers_OSP_min_months,$B$142,""),""),"")</f>
        <v/>
      </c>
      <c r="T282" s="113" t="str">
        <f>IFERROR(IF(COUNTIF(INDEX(#REF!,A282),"*Other scientific*")&gt;0,IF(INDEX(#REF!,A282)*INDEX(#REF!,A282)&gt;pers_OSP_max_months,$B$143,""),""),"")</f>
        <v/>
      </c>
      <c r="U282" s="113" t="str">
        <f>IFERROR(IF(COUNTIF(INDEX(#REF!,A282),"*leave*")&gt;0,IF(Total_Research_leave&gt;pers_leave_maxperc*Total_NWO_funding,$B$144,""),""),"")</f>
        <v/>
      </c>
      <c r="V282" s="113" t="str">
        <f>IFERROR(IF(COUNTIF(INDEX(#REF!,A282),"*leave*")&gt;0,IF(Research_leave_FTE_months&gt;pers_leave_maxduration,$B$145,""),""),"")</f>
        <v/>
      </c>
      <c r="W282" s="113" t="str">
        <f>IFERROR(IF(AND(INDEX(#REF!,A282)=0,INDEX(salaries_academic[[category]:[1]],MATCH(INDEX(#REF!,A282),salaries_academic[category],0),3)=0),$B$148,""),"")</f>
        <v/>
      </c>
      <c r="X282" s="113" t="e">
        <f>IF(AND(organisation_type="yes",INDEX(#REF!,A282,1)&lt;&gt;"",ISBLANK(INDEX(#REF!,A282,1))),$B$146,"")</f>
        <v>#REF!</v>
      </c>
      <c r="Y282" s="113" t="e">
        <f>IF(AND(organisation_name="yes",INDEX(#REF!,A282,1)&lt;&gt;"",ISBLANK(INDEX(#REF!,A282,1))),$B$147,"")</f>
        <v>#REF!</v>
      </c>
      <c r="Z282" s="113" t="str">
        <f>IFERROR(IF(AND(INDEX(#REF!,A282)&gt;0,INDEX(salaries_academic[[category]:[1]],MATCH(INDEX(#REF!,A282),salaries_academic[category],0),3)&gt;0),$B$149,""),"")</f>
        <v/>
      </c>
    </row>
    <row r="283" spans="1:26" outlineLevel="1" x14ac:dyDescent="0.35">
      <c r="A283" s="113">
        <v>76</v>
      </c>
      <c r="B283" s="113" t="str">
        <f t="array" ref="B283">IFERROR(INDEX(personnel_ac_notes[[#This Row],[Exceeding nr months]:[Costs specified]],1,MATCH(TRUE,LEN(personnel_ac_notes[[#This Row],[Exceeding nr months]:[Costs specified]])&gt;0,0)),"")</f>
        <v/>
      </c>
      <c r="C283" s="113" t="str">
        <f>IFERROR(IF(INDEX(#REF!,A283)&gt;Max_project_duration,$B$128,""),"")</f>
        <v/>
      </c>
      <c r="D283" s="113" t="str">
        <f>IFERROR(IF(AND(LEN(INDEX(#REF!,A283))+LEN(INDEX(#REF!,A283))+LEN(INDEX(#REF!,A283))&gt;0,LEN(INDEX(#REF!,A283-1))+LEN(INDEX(#REF!,A283-1))+LEN(INDEX(#REF!,A283-1))=0),$B$127,""),"")</f>
        <v/>
      </c>
      <c r="E283" s="113" t="str">
        <f>IF(AND(NOT(ISBLANK(INDEX(#REF!,A283))),OR(ISBLANK(INDEX(#REF!,A283)),ISBLANK(INDEX(#REF!,A283)))),VLOOKUP(INDEX(#REF!,A283),salaries_academic[],2,FALSE),"")</f>
        <v/>
      </c>
      <c r="F283" s="113" t="str">
        <f>IFERROR(IF(COUNTIF(INDEX(#REF!,A283),"*- PhD*")&gt;0,IF(INDEX(#REF!,A283)*INDEX(#REF!,A283)&lt;pers_PhD_min_months,$B$129,""),""),"")</f>
        <v/>
      </c>
      <c r="G283" s="113" t="str">
        <f>IFERROR(IF(COUNTIF(INDEX(#REF!,$A283),"*- PhD*")&gt;0,IF(INDEX(#REF!,$A283)*INDEX(#REF!,$A283)&gt;pers_PhD_max_months,$B$130,""),""),"")</f>
        <v/>
      </c>
      <c r="H283" s="113" t="str">
        <f>IFERROR(IF(COUNTIF(INDEX(#REF!,A283),"*year*")&gt;0,IF(INDEX(#REF!,A283)*INDEX(#REF!,A283)&lt;pers_3yPhD_min_months,$B$131,""),""),"")</f>
        <v/>
      </c>
      <c r="I283" s="113" t="str">
        <f>IFERROR(IF(COUNTIF(INDEX(#REF!,A283),"*PDEng*")&gt;0,IF(OR(IFERROR(MATCH("*PhD*",#REF!,0),0)&gt;0,IFERROR(MATCH("*PostDoc*",#REF!,0),0)&gt;0),"",$B$132),""),"")</f>
        <v/>
      </c>
      <c r="J283" s="113" t="str">
        <f>IFERROR(IF(COUNTIF(INDEX(#REF!,A283),"*PDEng*")&gt;0,IF(INDEX(#REF!,A283)*INDEX(#REF!,A283)&gt;pers_PDEng_max_months,$B$133,""),""),"")</f>
        <v/>
      </c>
      <c r="K283" s="113" t="str">
        <f>IFERROR(IF(COUNTIF(INDEX(#REF!,A283),"*PostDoc*")&gt;0,IF(INDEX(#REF!,A283)*INDEX(#REF!,A283)&lt;pers_PD_min_months,$B$134,""),""),"")</f>
        <v/>
      </c>
      <c r="L283" s="113" t="str">
        <f>IFERROR(IF(COUNTIF(INDEX(#REF!,A283),"*PostDoc*")&gt;0,IF(INDEX(#REF!,A283)*INDEX(#REF!,A283)&gt;pers_PD_max_months,$B$135,""),""),"")</f>
        <v/>
      </c>
      <c r="M283" s="113" t="str">
        <f>IFERROR(IF(COUNTIF(INDEX(#REF!,A283),"*Non-scientific*")&gt;0,IF(OR(IFERROR(MATCH("*PhD*",#REF!,0),0)&gt;0,IFERROR(MATCH("*PostDoc*",#REF!,0),0)&gt;0),"",$B$136),""),"")</f>
        <v/>
      </c>
      <c r="N283" s="113" t="str">
        <f>IFERROR(IF(COUNTIF(INDEX(#REF!,A283),"*Non-scientific*")&gt;0,IF(Total_NSP&gt;pers_max_NSP,$B$137,""),""),"")</f>
        <v/>
      </c>
      <c r="O283" s="113" t="str">
        <f>IFERROR(IF(COUNTIF(INDEX(#REF!,A283),"*Non-scientific*")&gt;0,IF(INDEX(#REF!,A283)*INDEX(#REF!,A283)&lt;pers_NSP_min_months,$B$138,""),""),"")</f>
        <v/>
      </c>
      <c r="P283" s="113" t="str">
        <f>IFERROR(IF(COUNTIF(INDEX(#REF!,A283),"*Non-scientific*")&gt;0,IF(INDEX(#REF!,A283)*INDEX(#REF!,A283)&gt;pers_NSP_max_months,$B$139,""),""),"")</f>
        <v/>
      </c>
      <c r="Q283" s="113" t="str">
        <f>IFERROR(IF(COUNTIF(INDEX(#REF!,A283),"*Other scientific*")&gt;0,IF(OR(IFERROR(MATCH("*PhD*",#REF!,0),0)&gt;0,IFERROR(MATCH("*PostDoc*",#REF!,0),0)&gt;0),"",$B$140),""),"")</f>
        <v/>
      </c>
      <c r="R283" s="113" t="str">
        <f>IFERROR(IF(COUNTIF(INDEX(#REF!,A283),"*Other scientific*")&gt;0,IF(Total_OSP&gt;pers_max_OSP,$B$141,""),""),"")</f>
        <v/>
      </c>
      <c r="S283" s="113" t="str">
        <f>IFERROR(IF(COUNTIF(INDEX(#REF!,A283),"*Other scientific*")&gt;0,IF(INDEX(#REF!,A283)*INDEX(#REF!,A283)&lt;pers_OSP_min_months,$B$142,""),""),"")</f>
        <v/>
      </c>
      <c r="T283" s="113" t="str">
        <f>IFERROR(IF(COUNTIF(INDEX(#REF!,A283),"*Other scientific*")&gt;0,IF(INDEX(#REF!,A283)*INDEX(#REF!,A283)&gt;pers_OSP_max_months,$B$143,""),""),"")</f>
        <v/>
      </c>
      <c r="U283" s="113" t="str">
        <f>IFERROR(IF(COUNTIF(INDEX(#REF!,A283),"*leave*")&gt;0,IF(Total_Research_leave&gt;pers_leave_maxperc*Total_NWO_funding,$B$144,""),""),"")</f>
        <v/>
      </c>
      <c r="V283" s="113" t="str">
        <f>IFERROR(IF(COUNTIF(INDEX(#REF!,A283),"*leave*")&gt;0,IF(Research_leave_FTE_months&gt;pers_leave_maxduration,$B$145,""),""),"")</f>
        <v/>
      </c>
      <c r="W283" s="113" t="str">
        <f>IFERROR(IF(AND(INDEX(#REF!,A283)=0,INDEX(salaries_academic[[category]:[1]],MATCH(INDEX(#REF!,A283),salaries_academic[category],0),3)=0),$B$148,""),"")</f>
        <v/>
      </c>
      <c r="X283" s="113" t="e">
        <f>IF(AND(organisation_type="yes",INDEX(#REF!,A283,1)&lt;&gt;"",ISBLANK(INDEX(#REF!,A283,1))),$B$146,"")</f>
        <v>#REF!</v>
      </c>
      <c r="Y283" s="113" t="e">
        <f>IF(AND(organisation_name="yes",INDEX(#REF!,A283,1)&lt;&gt;"",ISBLANK(INDEX(#REF!,A283,1))),$B$147,"")</f>
        <v>#REF!</v>
      </c>
      <c r="Z283" s="113" t="str">
        <f>IFERROR(IF(AND(INDEX(#REF!,A283)&gt;0,INDEX(salaries_academic[[category]:[1]],MATCH(INDEX(#REF!,A283),salaries_academic[category],0),3)&gt;0),$B$149,""),"")</f>
        <v/>
      </c>
    </row>
    <row r="284" spans="1:26" outlineLevel="1" x14ac:dyDescent="0.35">
      <c r="A284" s="113">
        <v>77</v>
      </c>
      <c r="B284" s="113" t="str">
        <f t="array" ref="B284">IFERROR(INDEX(personnel_ac_notes[[#This Row],[Exceeding nr months]:[Costs specified]],1,MATCH(TRUE,LEN(personnel_ac_notes[[#This Row],[Exceeding nr months]:[Costs specified]])&gt;0,0)),"")</f>
        <v/>
      </c>
      <c r="C284" s="113" t="str">
        <f>IFERROR(IF(INDEX(#REF!,A284)&gt;Max_project_duration,$B$128,""),"")</f>
        <v/>
      </c>
      <c r="D284" s="113" t="str">
        <f>IFERROR(IF(AND(LEN(INDEX(#REF!,A284))+LEN(INDEX(#REF!,A284))+LEN(INDEX(#REF!,A284))&gt;0,LEN(INDEX(#REF!,A284-1))+LEN(INDEX(#REF!,A284-1))+LEN(INDEX(#REF!,A284-1))=0),$B$127,""),"")</f>
        <v/>
      </c>
      <c r="E284" s="113" t="str">
        <f>IF(AND(NOT(ISBLANK(INDEX(#REF!,A284))),OR(ISBLANK(INDEX(#REF!,A284)),ISBLANK(INDEX(#REF!,A284)))),VLOOKUP(INDEX(#REF!,A284),salaries_academic[],2,FALSE),"")</f>
        <v/>
      </c>
      <c r="F284" s="113" t="str">
        <f>IFERROR(IF(COUNTIF(INDEX(#REF!,A284),"*- PhD*")&gt;0,IF(INDEX(#REF!,A284)*INDEX(#REF!,A284)&lt;pers_PhD_min_months,$B$129,""),""),"")</f>
        <v/>
      </c>
      <c r="G284" s="113" t="str">
        <f>IFERROR(IF(COUNTIF(INDEX(#REF!,$A284),"*- PhD*")&gt;0,IF(INDEX(#REF!,$A284)*INDEX(#REF!,$A284)&gt;pers_PhD_max_months,$B$130,""),""),"")</f>
        <v/>
      </c>
      <c r="H284" s="113" t="str">
        <f>IFERROR(IF(COUNTIF(INDEX(#REF!,A284),"*year*")&gt;0,IF(INDEX(#REF!,A284)*INDEX(#REF!,A284)&lt;pers_3yPhD_min_months,$B$131,""),""),"")</f>
        <v/>
      </c>
      <c r="I284" s="113" t="str">
        <f>IFERROR(IF(COUNTIF(INDEX(#REF!,A284),"*PDEng*")&gt;0,IF(OR(IFERROR(MATCH("*PhD*",#REF!,0),0)&gt;0,IFERROR(MATCH("*PostDoc*",#REF!,0),0)&gt;0),"",$B$132),""),"")</f>
        <v/>
      </c>
      <c r="J284" s="113" t="str">
        <f>IFERROR(IF(COUNTIF(INDEX(#REF!,A284),"*PDEng*")&gt;0,IF(INDEX(#REF!,A284)*INDEX(#REF!,A284)&gt;pers_PDEng_max_months,$B$133,""),""),"")</f>
        <v/>
      </c>
      <c r="K284" s="113" t="str">
        <f>IFERROR(IF(COUNTIF(INDEX(#REF!,A284),"*PostDoc*")&gt;0,IF(INDEX(#REF!,A284)*INDEX(#REF!,A284)&lt;pers_PD_min_months,$B$134,""),""),"")</f>
        <v/>
      </c>
      <c r="L284" s="113" t="str">
        <f>IFERROR(IF(COUNTIF(INDEX(#REF!,A284),"*PostDoc*")&gt;0,IF(INDEX(#REF!,A284)*INDEX(#REF!,A284)&gt;pers_PD_max_months,$B$135,""),""),"")</f>
        <v/>
      </c>
      <c r="M284" s="113" t="str">
        <f>IFERROR(IF(COUNTIF(INDEX(#REF!,A284),"*Non-scientific*")&gt;0,IF(OR(IFERROR(MATCH("*PhD*",#REF!,0),0)&gt;0,IFERROR(MATCH("*PostDoc*",#REF!,0),0)&gt;0),"",$B$136),""),"")</f>
        <v/>
      </c>
      <c r="N284" s="113" t="str">
        <f>IFERROR(IF(COUNTIF(INDEX(#REF!,A284),"*Non-scientific*")&gt;0,IF(Total_NSP&gt;pers_max_NSP,$B$137,""),""),"")</f>
        <v/>
      </c>
      <c r="O284" s="113" t="str">
        <f>IFERROR(IF(COUNTIF(INDEX(#REF!,A284),"*Non-scientific*")&gt;0,IF(INDEX(#REF!,A284)*INDEX(#REF!,A284)&lt;pers_NSP_min_months,$B$138,""),""),"")</f>
        <v/>
      </c>
      <c r="P284" s="113" t="str">
        <f>IFERROR(IF(COUNTIF(INDEX(#REF!,A284),"*Non-scientific*")&gt;0,IF(INDEX(#REF!,A284)*INDEX(#REF!,A284)&gt;pers_NSP_max_months,$B$139,""),""),"")</f>
        <v/>
      </c>
      <c r="Q284" s="113" t="str">
        <f>IFERROR(IF(COUNTIF(INDEX(#REF!,A284),"*Other scientific*")&gt;0,IF(OR(IFERROR(MATCH("*PhD*",#REF!,0),0)&gt;0,IFERROR(MATCH("*PostDoc*",#REF!,0),0)&gt;0),"",$B$140),""),"")</f>
        <v/>
      </c>
      <c r="R284" s="113" t="str">
        <f>IFERROR(IF(COUNTIF(INDEX(#REF!,A284),"*Other scientific*")&gt;0,IF(Total_OSP&gt;pers_max_OSP,$B$141,""),""),"")</f>
        <v/>
      </c>
      <c r="S284" s="113" t="str">
        <f>IFERROR(IF(COUNTIF(INDEX(#REF!,A284),"*Other scientific*")&gt;0,IF(INDEX(#REF!,A284)*INDEX(#REF!,A284)&lt;pers_OSP_min_months,$B$142,""),""),"")</f>
        <v/>
      </c>
      <c r="T284" s="113" t="str">
        <f>IFERROR(IF(COUNTIF(INDEX(#REF!,A284),"*Other scientific*")&gt;0,IF(INDEX(#REF!,A284)*INDEX(#REF!,A284)&gt;pers_OSP_max_months,$B$143,""),""),"")</f>
        <v/>
      </c>
      <c r="U284" s="113" t="str">
        <f>IFERROR(IF(COUNTIF(INDEX(#REF!,A284),"*leave*")&gt;0,IF(Total_Research_leave&gt;pers_leave_maxperc*Total_NWO_funding,$B$144,""),""),"")</f>
        <v/>
      </c>
      <c r="V284" s="113" t="str">
        <f>IFERROR(IF(COUNTIF(INDEX(#REF!,A284),"*leave*")&gt;0,IF(Research_leave_FTE_months&gt;pers_leave_maxduration,$B$145,""),""),"")</f>
        <v/>
      </c>
      <c r="W284" s="113" t="str">
        <f>IFERROR(IF(AND(INDEX(#REF!,A284)=0,INDEX(salaries_academic[[category]:[1]],MATCH(INDEX(#REF!,A284),salaries_academic[category],0),3)=0),$B$148,""),"")</f>
        <v/>
      </c>
      <c r="X284" s="113" t="e">
        <f>IF(AND(organisation_type="yes",INDEX(#REF!,A284,1)&lt;&gt;"",ISBLANK(INDEX(#REF!,A284,1))),$B$146,"")</f>
        <v>#REF!</v>
      </c>
      <c r="Y284" s="113" t="e">
        <f>IF(AND(organisation_name="yes",INDEX(#REF!,A284,1)&lt;&gt;"",ISBLANK(INDEX(#REF!,A284,1))),$B$147,"")</f>
        <v>#REF!</v>
      </c>
      <c r="Z284" s="113" t="str">
        <f>IFERROR(IF(AND(INDEX(#REF!,A284)&gt;0,INDEX(salaries_academic[[category]:[1]],MATCH(INDEX(#REF!,A284),salaries_academic[category],0),3)&gt;0),$B$149,""),"")</f>
        <v/>
      </c>
    </row>
    <row r="285" spans="1:26" outlineLevel="1" x14ac:dyDescent="0.35">
      <c r="A285" s="113">
        <v>78</v>
      </c>
      <c r="B285" s="113" t="str">
        <f t="array" ref="B285">IFERROR(INDEX(personnel_ac_notes[[#This Row],[Exceeding nr months]:[Costs specified]],1,MATCH(TRUE,LEN(personnel_ac_notes[[#This Row],[Exceeding nr months]:[Costs specified]])&gt;0,0)),"")</f>
        <v/>
      </c>
      <c r="C285" s="113" t="str">
        <f>IFERROR(IF(INDEX(#REF!,A285)&gt;Max_project_duration,$B$128,""),"")</f>
        <v/>
      </c>
      <c r="D285" s="113" t="str">
        <f>IFERROR(IF(AND(LEN(INDEX(#REF!,A285))+LEN(INDEX(#REF!,A285))+LEN(INDEX(#REF!,A285))&gt;0,LEN(INDEX(#REF!,A285-1))+LEN(INDEX(#REF!,A285-1))+LEN(INDEX(#REF!,A285-1))=0),$B$127,""),"")</f>
        <v/>
      </c>
      <c r="E285" s="113" t="str">
        <f>IF(AND(NOT(ISBLANK(INDEX(#REF!,A285))),OR(ISBLANK(INDEX(#REF!,A285)),ISBLANK(INDEX(#REF!,A285)))),VLOOKUP(INDEX(#REF!,A285),salaries_academic[],2,FALSE),"")</f>
        <v/>
      </c>
      <c r="F285" s="113" t="str">
        <f>IFERROR(IF(COUNTIF(INDEX(#REF!,A285),"*- PhD*")&gt;0,IF(INDEX(#REF!,A285)*INDEX(#REF!,A285)&lt;pers_PhD_min_months,$B$129,""),""),"")</f>
        <v/>
      </c>
      <c r="G285" s="113" t="str">
        <f>IFERROR(IF(COUNTIF(INDEX(#REF!,$A285),"*- PhD*")&gt;0,IF(INDEX(#REF!,$A285)*INDEX(#REF!,$A285)&gt;pers_PhD_max_months,$B$130,""),""),"")</f>
        <v/>
      </c>
      <c r="H285" s="113" t="str">
        <f>IFERROR(IF(COUNTIF(INDEX(#REF!,A285),"*year*")&gt;0,IF(INDEX(#REF!,A285)*INDEX(#REF!,A285)&lt;pers_3yPhD_min_months,$B$131,""),""),"")</f>
        <v/>
      </c>
      <c r="I285" s="113" t="str">
        <f>IFERROR(IF(COUNTIF(INDEX(#REF!,A285),"*PDEng*")&gt;0,IF(OR(IFERROR(MATCH("*PhD*",#REF!,0),0)&gt;0,IFERROR(MATCH("*PostDoc*",#REF!,0),0)&gt;0),"",$B$132),""),"")</f>
        <v/>
      </c>
      <c r="J285" s="113" t="str">
        <f>IFERROR(IF(COUNTIF(INDEX(#REF!,A285),"*PDEng*")&gt;0,IF(INDEX(#REF!,A285)*INDEX(#REF!,A285)&gt;pers_PDEng_max_months,$B$133,""),""),"")</f>
        <v/>
      </c>
      <c r="K285" s="113" t="str">
        <f>IFERROR(IF(COUNTIF(INDEX(#REF!,A285),"*PostDoc*")&gt;0,IF(INDEX(#REF!,A285)*INDEX(#REF!,A285)&lt;pers_PD_min_months,$B$134,""),""),"")</f>
        <v/>
      </c>
      <c r="L285" s="113" t="str">
        <f>IFERROR(IF(COUNTIF(INDEX(#REF!,A285),"*PostDoc*")&gt;0,IF(INDEX(#REF!,A285)*INDEX(#REF!,A285)&gt;pers_PD_max_months,$B$135,""),""),"")</f>
        <v/>
      </c>
      <c r="M285" s="113" t="str">
        <f>IFERROR(IF(COUNTIF(INDEX(#REF!,A285),"*Non-scientific*")&gt;0,IF(OR(IFERROR(MATCH("*PhD*",#REF!,0),0)&gt;0,IFERROR(MATCH("*PostDoc*",#REF!,0),0)&gt;0),"",$B$136),""),"")</f>
        <v/>
      </c>
      <c r="N285" s="113" t="str">
        <f>IFERROR(IF(COUNTIF(INDEX(#REF!,A285),"*Non-scientific*")&gt;0,IF(Total_NSP&gt;pers_max_NSP,$B$137,""),""),"")</f>
        <v/>
      </c>
      <c r="O285" s="113" t="str">
        <f>IFERROR(IF(COUNTIF(INDEX(#REF!,A285),"*Non-scientific*")&gt;0,IF(INDEX(#REF!,A285)*INDEX(#REF!,A285)&lt;pers_NSP_min_months,$B$138,""),""),"")</f>
        <v/>
      </c>
      <c r="P285" s="113" t="str">
        <f>IFERROR(IF(COUNTIF(INDEX(#REF!,A285),"*Non-scientific*")&gt;0,IF(INDEX(#REF!,A285)*INDEX(#REF!,A285)&gt;pers_NSP_max_months,$B$139,""),""),"")</f>
        <v/>
      </c>
      <c r="Q285" s="113" t="str">
        <f>IFERROR(IF(COUNTIF(INDEX(#REF!,A285),"*Other scientific*")&gt;0,IF(OR(IFERROR(MATCH("*PhD*",#REF!,0),0)&gt;0,IFERROR(MATCH("*PostDoc*",#REF!,0),0)&gt;0),"",$B$140),""),"")</f>
        <v/>
      </c>
      <c r="R285" s="113" t="str">
        <f>IFERROR(IF(COUNTIF(INDEX(#REF!,A285),"*Other scientific*")&gt;0,IF(Total_OSP&gt;pers_max_OSP,$B$141,""),""),"")</f>
        <v/>
      </c>
      <c r="S285" s="113" t="str">
        <f>IFERROR(IF(COUNTIF(INDEX(#REF!,A285),"*Other scientific*")&gt;0,IF(INDEX(#REF!,A285)*INDEX(#REF!,A285)&lt;pers_OSP_min_months,$B$142,""),""),"")</f>
        <v/>
      </c>
      <c r="T285" s="113" t="str">
        <f>IFERROR(IF(COUNTIF(INDEX(#REF!,A285),"*Other scientific*")&gt;0,IF(INDEX(#REF!,A285)*INDEX(#REF!,A285)&gt;pers_OSP_max_months,$B$143,""),""),"")</f>
        <v/>
      </c>
      <c r="U285" s="113" t="str">
        <f>IFERROR(IF(COUNTIF(INDEX(#REF!,A285),"*leave*")&gt;0,IF(Total_Research_leave&gt;pers_leave_maxperc*Total_NWO_funding,$B$144,""),""),"")</f>
        <v/>
      </c>
      <c r="V285" s="113" t="str">
        <f>IFERROR(IF(COUNTIF(INDEX(#REF!,A285),"*leave*")&gt;0,IF(Research_leave_FTE_months&gt;pers_leave_maxduration,$B$145,""),""),"")</f>
        <v/>
      </c>
      <c r="W285" s="113" t="str">
        <f>IFERROR(IF(AND(INDEX(#REF!,A285)=0,INDEX(salaries_academic[[category]:[1]],MATCH(INDEX(#REF!,A285),salaries_academic[category],0),3)=0),$B$148,""),"")</f>
        <v/>
      </c>
      <c r="X285" s="113" t="e">
        <f>IF(AND(organisation_type="yes",INDEX(#REF!,A285,1)&lt;&gt;"",ISBLANK(INDEX(#REF!,A285,1))),$B$146,"")</f>
        <v>#REF!</v>
      </c>
      <c r="Y285" s="113" t="e">
        <f>IF(AND(organisation_name="yes",INDEX(#REF!,A285,1)&lt;&gt;"",ISBLANK(INDEX(#REF!,A285,1))),$B$147,"")</f>
        <v>#REF!</v>
      </c>
      <c r="Z285" s="113" t="str">
        <f>IFERROR(IF(AND(INDEX(#REF!,A285)&gt;0,INDEX(salaries_academic[[category]:[1]],MATCH(INDEX(#REF!,A285),salaries_academic[category],0),3)&gt;0),$B$149,""),"")</f>
        <v/>
      </c>
    </row>
    <row r="286" spans="1:26" outlineLevel="1" x14ac:dyDescent="0.35">
      <c r="A286" s="113">
        <v>79</v>
      </c>
      <c r="B286" s="113" t="str">
        <f t="array" ref="B286">IFERROR(INDEX(personnel_ac_notes[[#This Row],[Exceeding nr months]:[Costs specified]],1,MATCH(TRUE,LEN(personnel_ac_notes[[#This Row],[Exceeding nr months]:[Costs specified]])&gt;0,0)),"")</f>
        <v/>
      </c>
      <c r="C286" s="113" t="str">
        <f>IFERROR(IF(INDEX(#REF!,A286)&gt;Max_project_duration,$B$128,""),"")</f>
        <v/>
      </c>
      <c r="D286" s="113" t="str">
        <f>IFERROR(IF(AND(LEN(INDEX(#REF!,A286))+LEN(INDEX(#REF!,A286))+LEN(INDEX(#REF!,A286))&gt;0,LEN(INDEX(#REF!,A286-1))+LEN(INDEX(#REF!,A286-1))+LEN(INDEX(#REF!,A286-1))=0),$B$127,""),"")</f>
        <v/>
      </c>
      <c r="E286" s="113" t="str">
        <f>IF(AND(NOT(ISBLANK(INDEX(#REF!,A286))),OR(ISBLANK(INDEX(#REF!,A286)),ISBLANK(INDEX(#REF!,A286)))),VLOOKUP(INDEX(#REF!,A286),salaries_academic[],2,FALSE),"")</f>
        <v/>
      </c>
      <c r="F286" s="113" t="str">
        <f>IFERROR(IF(COUNTIF(INDEX(#REF!,A286),"*- PhD*")&gt;0,IF(INDEX(#REF!,A286)*INDEX(#REF!,A286)&lt;pers_PhD_min_months,$B$129,""),""),"")</f>
        <v/>
      </c>
      <c r="G286" s="113" t="str">
        <f>IFERROR(IF(COUNTIF(INDEX(#REF!,$A286),"*- PhD*")&gt;0,IF(INDEX(#REF!,$A286)*INDEX(#REF!,$A286)&gt;pers_PhD_max_months,$B$130,""),""),"")</f>
        <v/>
      </c>
      <c r="H286" s="113" t="str">
        <f>IFERROR(IF(COUNTIF(INDEX(#REF!,A286),"*year*")&gt;0,IF(INDEX(#REF!,A286)*INDEX(#REF!,A286)&lt;pers_3yPhD_min_months,$B$131,""),""),"")</f>
        <v/>
      </c>
      <c r="I286" s="113" t="str">
        <f>IFERROR(IF(COUNTIF(INDEX(#REF!,A286),"*PDEng*")&gt;0,IF(OR(IFERROR(MATCH("*PhD*",#REF!,0),0)&gt;0,IFERROR(MATCH("*PostDoc*",#REF!,0),0)&gt;0),"",$B$132),""),"")</f>
        <v/>
      </c>
      <c r="J286" s="113" t="str">
        <f>IFERROR(IF(COUNTIF(INDEX(#REF!,A286),"*PDEng*")&gt;0,IF(INDEX(#REF!,A286)*INDEX(#REF!,A286)&gt;pers_PDEng_max_months,$B$133,""),""),"")</f>
        <v/>
      </c>
      <c r="K286" s="113" t="str">
        <f>IFERROR(IF(COUNTIF(INDEX(#REF!,A286),"*PostDoc*")&gt;0,IF(INDEX(#REF!,A286)*INDEX(#REF!,A286)&lt;pers_PD_min_months,$B$134,""),""),"")</f>
        <v/>
      </c>
      <c r="L286" s="113" t="str">
        <f>IFERROR(IF(COUNTIF(INDEX(#REF!,A286),"*PostDoc*")&gt;0,IF(INDEX(#REF!,A286)*INDEX(#REF!,A286)&gt;pers_PD_max_months,$B$135,""),""),"")</f>
        <v/>
      </c>
      <c r="M286" s="113" t="str">
        <f>IFERROR(IF(COUNTIF(INDEX(#REF!,A286),"*Non-scientific*")&gt;0,IF(OR(IFERROR(MATCH("*PhD*",#REF!,0),0)&gt;0,IFERROR(MATCH("*PostDoc*",#REF!,0),0)&gt;0),"",$B$136),""),"")</f>
        <v/>
      </c>
      <c r="N286" s="113" t="str">
        <f>IFERROR(IF(COUNTIF(INDEX(#REF!,A286),"*Non-scientific*")&gt;0,IF(Total_NSP&gt;pers_max_NSP,$B$137,""),""),"")</f>
        <v/>
      </c>
      <c r="O286" s="113" t="str">
        <f>IFERROR(IF(COUNTIF(INDEX(#REF!,A286),"*Non-scientific*")&gt;0,IF(INDEX(#REF!,A286)*INDEX(#REF!,A286)&lt;pers_NSP_min_months,$B$138,""),""),"")</f>
        <v/>
      </c>
      <c r="P286" s="113" t="str">
        <f>IFERROR(IF(COUNTIF(INDEX(#REF!,A286),"*Non-scientific*")&gt;0,IF(INDEX(#REF!,A286)*INDEX(#REF!,A286)&gt;pers_NSP_max_months,$B$139,""),""),"")</f>
        <v/>
      </c>
      <c r="Q286" s="113" t="str">
        <f>IFERROR(IF(COUNTIF(INDEX(#REF!,A286),"*Other scientific*")&gt;0,IF(OR(IFERROR(MATCH("*PhD*",#REF!,0),0)&gt;0,IFERROR(MATCH("*PostDoc*",#REF!,0),0)&gt;0),"",$B$140),""),"")</f>
        <v/>
      </c>
      <c r="R286" s="113" t="str">
        <f>IFERROR(IF(COUNTIF(INDEX(#REF!,A286),"*Other scientific*")&gt;0,IF(Total_OSP&gt;pers_max_OSP,$B$141,""),""),"")</f>
        <v/>
      </c>
      <c r="S286" s="113" t="str">
        <f>IFERROR(IF(COUNTIF(INDEX(#REF!,A286),"*Other scientific*")&gt;0,IF(INDEX(#REF!,A286)*INDEX(#REF!,A286)&lt;pers_OSP_min_months,$B$142,""),""),"")</f>
        <v/>
      </c>
      <c r="T286" s="113" t="str">
        <f>IFERROR(IF(COUNTIF(INDEX(#REF!,A286),"*Other scientific*")&gt;0,IF(INDEX(#REF!,A286)*INDEX(#REF!,A286)&gt;pers_OSP_max_months,$B$143,""),""),"")</f>
        <v/>
      </c>
      <c r="U286" s="113" t="str">
        <f>IFERROR(IF(COUNTIF(INDEX(#REF!,A286),"*leave*")&gt;0,IF(Total_Research_leave&gt;pers_leave_maxperc*Total_NWO_funding,$B$144,""),""),"")</f>
        <v/>
      </c>
      <c r="V286" s="113" t="str">
        <f>IFERROR(IF(COUNTIF(INDEX(#REF!,A286),"*leave*")&gt;0,IF(Research_leave_FTE_months&gt;pers_leave_maxduration,$B$145,""),""),"")</f>
        <v/>
      </c>
      <c r="W286" s="113" t="str">
        <f>IFERROR(IF(AND(INDEX(#REF!,A286)=0,INDEX(salaries_academic[[category]:[1]],MATCH(INDEX(#REF!,A286),salaries_academic[category],0),3)=0),$B$148,""),"")</f>
        <v/>
      </c>
      <c r="X286" s="113" t="e">
        <f>IF(AND(organisation_type="yes",INDEX(#REF!,A286,1)&lt;&gt;"",ISBLANK(INDEX(#REF!,A286,1))),$B$146,"")</f>
        <v>#REF!</v>
      </c>
      <c r="Y286" s="113" t="e">
        <f>IF(AND(organisation_name="yes",INDEX(#REF!,A286,1)&lt;&gt;"",ISBLANK(INDEX(#REF!,A286,1))),$B$147,"")</f>
        <v>#REF!</v>
      </c>
      <c r="Z286" s="113" t="str">
        <f>IFERROR(IF(AND(INDEX(#REF!,A286)&gt;0,INDEX(salaries_academic[[category]:[1]],MATCH(INDEX(#REF!,A286),salaries_academic[category],0),3)&gt;0),$B$149,""),"")</f>
        <v/>
      </c>
    </row>
    <row r="287" spans="1:26" outlineLevel="1" x14ac:dyDescent="0.35">
      <c r="A287" s="113">
        <v>80</v>
      </c>
      <c r="B287" s="113" t="str">
        <f t="array" ref="B287">IFERROR(INDEX(personnel_ac_notes[[#This Row],[Exceeding nr months]:[Costs specified]],1,MATCH(TRUE,LEN(personnel_ac_notes[[#This Row],[Exceeding nr months]:[Costs specified]])&gt;0,0)),"")</f>
        <v/>
      </c>
      <c r="C287" s="113" t="str">
        <f>IFERROR(IF(INDEX(#REF!,A287)&gt;Max_project_duration,$B$128,""),"")</f>
        <v/>
      </c>
      <c r="D287" s="113" t="str">
        <f>IFERROR(IF(AND(LEN(INDEX(#REF!,A287))+LEN(INDEX(#REF!,A287))+LEN(INDEX(#REF!,A287))&gt;0,LEN(INDEX(#REF!,A287-1))+LEN(INDEX(#REF!,A287-1))+LEN(INDEX(#REF!,A287-1))=0),$B$127,""),"")</f>
        <v/>
      </c>
      <c r="E287" s="113" t="str">
        <f>IF(AND(NOT(ISBLANK(INDEX(#REF!,A287))),OR(ISBLANK(INDEX(#REF!,A287)),ISBLANK(INDEX(#REF!,A287)))),VLOOKUP(INDEX(#REF!,A287),salaries_academic[],2,FALSE),"")</f>
        <v/>
      </c>
      <c r="F287" s="113" t="str">
        <f>IFERROR(IF(COUNTIF(INDEX(#REF!,A287),"*- PhD*")&gt;0,IF(INDEX(#REF!,A287)*INDEX(#REF!,A287)&lt;pers_PhD_min_months,$B$129,""),""),"")</f>
        <v/>
      </c>
      <c r="G287" s="113" t="str">
        <f>IFERROR(IF(COUNTIF(INDEX(#REF!,$A287),"*- PhD*")&gt;0,IF(INDEX(#REF!,$A287)*INDEX(#REF!,$A287)&gt;pers_PhD_max_months,$B$130,""),""),"")</f>
        <v/>
      </c>
      <c r="H287" s="113" t="str">
        <f>IFERROR(IF(COUNTIF(INDEX(#REF!,A287),"*year*")&gt;0,IF(INDEX(#REF!,A287)*INDEX(#REF!,A287)&lt;pers_3yPhD_min_months,$B$131,""),""),"")</f>
        <v/>
      </c>
      <c r="I287" s="113" t="str">
        <f>IFERROR(IF(COUNTIF(INDEX(#REF!,A287),"*PDEng*")&gt;0,IF(OR(IFERROR(MATCH("*PhD*",#REF!,0),0)&gt;0,IFERROR(MATCH("*PostDoc*",#REF!,0),0)&gt;0),"",$B$132),""),"")</f>
        <v/>
      </c>
      <c r="J287" s="113" t="str">
        <f>IFERROR(IF(COUNTIF(INDEX(#REF!,A287),"*PDEng*")&gt;0,IF(INDEX(#REF!,A287)*INDEX(#REF!,A287)&gt;pers_PDEng_max_months,$B$133,""),""),"")</f>
        <v/>
      </c>
      <c r="K287" s="113" t="str">
        <f>IFERROR(IF(COUNTIF(INDEX(#REF!,A287),"*PostDoc*")&gt;0,IF(INDEX(#REF!,A287)*INDEX(#REF!,A287)&lt;pers_PD_min_months,$B$134,""),""),"")</f>
        <v/>
      </c>
      <c r="L287" s="113" t="str">
        <f>IFERROR(IF(COUNTIF(INDEX(#REF!,A287),"*PostDoc*")&gt;0,IF(INDEX(#REF!,A287)*INDEX(#REF!,A287)&gt;pers_PD_max_months,$B$135,""),""),"")</f>
        <v/>
      </c>
      <c r="M287" s="113" t="str">
        <f>IFERROR(IF(COUNTIF(INDEX(#REF!,A287),"*Non-scientific*")&gt;0,IF(OR(IFERROR(MATCH("*PhD*",#REF!,0),0)&gt;0,IFERROR(MATCH("*PostDoc*",#REF!,0),0)&gt;0),"",$B$136),""),"")</f>
        <v/>
      </c>
      <c r="N287" s="113" t="str">
        <f>IFERROR(IF(COUNTIF(INDEX(#REF!,A287),"*Non-scientific*")&gt;0,IF(Total_NSP&gt;pers_max_NSP,$B$137,""),""),"")</f>
        <v/>
      </c>
      <c r="O287" s="113" t="str">
        <f>IFERROR(IF(COUNTIF(INDEX(#REF!,A287),"*Non-scientific*")&gt;0,IF(INDEX(#REF!,A287)*INDEX(#REF!,A287)&lt;pers_NSP_min_months,$B$138,""),""),"")</f>
        <v/>
      </c>
      <c r="P287" s="113" t="str">
        <f>IFERROR(IF(COUNTIF(INDEX(#REF!,A287),"*Non-scientific*")&gt;0,IF(INDEX(#REF!,A287)*INDEX(#REF!,A287)&gt;pers_NSP_max_months,$B$139,""),""),"")</f>
        <v/>
      </c>
      <c r="Q287" s="113" t="str">
        <f>IFERROR(IF(COUNTIF(INDEX(#REF!,A287),"*Other scientific*")&gt;0,IF(OR(IFERROR(MATCH("*PhD*",#REF!,0),0)&gt;0,IFERROR(MATCH("*PostDoc*",#REF!,0),0)&gt;0),"",$B$140),""),"")</f>
        <v/>
      </c>
      <c r="R287" s="113" t="str">
        <f>IFERROR(IF(COUNTIF(INDEX(#REF!,A287),"*Other scientific*")&gt;0,IF(Total_OSP&gt;pers_max_OSP,$B$141,""),""),"")</f>
        <v/>
      </c>
      <c r="S287" s="113" t="str">
        <f>IFERROR(IF(COUNTIF(INDEX(#REF!,A287),"*Other scientific*")&gt;0,IF(INDEX(#REF!,A287)*INDEX(#REF!,A287)&lt;pers_OSP_min_months,$B$142,""),""),"")</f>
        <v/>
      </c>
      <c r="T287" s="113" t="str">
        <f>IFERROR(IF(COUNTIF(INDEX(#REF!,A287),"*Other scientific*")&gt;0,IF(INDEX(#REF!,A287)*INDEX(#REF!,A287)&gt;pers_OSP_max_months,$B$143,""),""),"")</f>
        <v/>
      </c>
      <c r="U287" s="113" t="str">
        <f>IFERROR(IF(COUNTIF(INDEX(#REF!,A287),"*leave*")&gt;0,IF(Total_Research_leave&gt;pers_leave_maxperc*Total_NWO_funding,$B$144,""),""),"")</f>
        <v/>
      </c>
      <c r="V287" s="113" t="str">
        <f>IFERROR(IF(COUNTIF(INDEX(#REF!,A287),"*leave*")&gt;0,IF(Research_leave_FTE_months&gt;pers_leave_maxduration,$B$145,""),""),"")</f>
        <v/>
      </c>
      <c r="W287" s="113" t="str">
        <f>IFERROR(IF(AND(INDEX(#REF!,A287)=0,INDEX(salaries_academic[[category]:[1]],MATCH(INDEX(#REF!,A287),salaries_academic[category],0),3)=0),$B$148,""),"")</f>
        <v/>
      </c>
      <c r="X287" s="113" t="e">
        <f>IF(AND(organisation_type="yes",INDEX(#REF!,A287,1)&lt;&gt;"",ISBLANK(INDEX(#REF!,A287,1))),$B$146,"")</f>
        <v>#REF!</v>
      </c>
      <c r="Y287" s="113" t="e">
        <f>IF(AND(organisation_name="yes",INDEX(#REF!,A287,1)&lt;&gt;"",ISBLANK(INDEX(#REF!,A287,1))),$B$147,"")</f>
        <v>#REF!</v>
      </c>
      <c r="Z287" s="113" t="str">
        <f>IFERROR(IF(AND(INDEX(#REF!,A287)&gt;0,INDEX(salaries_academic[[category]:[1]],MATCH(INDEX(#REF!,A287),salaries_academic[category],0),3)&gt;0),$B$149,""),"")</f>
        <v/>
      </c>
    </row>
    <row r="288" spans="1:26" outlineLevel="1" x14ac:dyDescent="0.35">
      <c r="A288" s="113">
        <v>81</v>
      </c>
      <c r="B288" s="113" t="str">
        <f t="array" ref="B288">IFERROR(INDEX(personnel_ac_notes[[#This Row],[Exceeding nr months]:[Costs specified]],1,MATCH(TRUE,LEN(personnel_ac_notes[[#This Row],[Exceeding nr months]:[Costs specified]])&gt;0,0)),"")</f>
        <v/>
      </c>
      <c r="C288" s="113" t="str">
        <f>IFERROR(IF(INDEX(#REF!,A288)&gt;Max_project_duration,$B$128,""),"")</f>
        <v/>
      </c>
      <c r="D288" s="113" t="str">
        <f>IFERROR(IF(AND(LEN(INDEX(#REF!,A288))+LEN(INDEX(#REF!,A288))+LEN(INDEX(#REF!,A288))&gt;0,LEN(INDEX(#REF!,A288-1))+LEN(INDEX(#REF!,A288-1))+LEN(INDEX(#REF!,A288-1))=0),$B$127,""),"")</f>
        <v/>
      </c>
      <c r="E288" s="113" t="str">
        <f>IF(AND(NOT(ISBLANK(INDEX(#REF!,A288))),OR(ISBLANK(INDEX(#REF!,A288)),ISBLANK(INDEX(#REF!,A288)))),VLOOKUP(INDEX(#REF!,A288),salaries_academic[],2,FALSE),"")</f>
        <v/>
      </c>
      <c r="F288" s="113" t="str">
        <f>IFERROR(IF(COUNTIF(INDEX(#REF!,A288),"*- PhD*")&gt;0,IF(INDEX(#REF!,A288)*INDEX(#REF!,A288)&lt;pers_PhD_min_months,$B$129,""),""),"")</f>
        <v/>
      </c>
      <c r="G288" s="113" t="str">
        <f>IFERROR(IF(COUNTIF(INDEX(#REF!,$A288),"*- PhD*")&gt;0,IF(INDEX(#REF!,$A288)*INDEX(#REF!,$A288)&gt;pers_PhD_max_months,$B$130,""),""),"")</f>
        <v/>
      </c>
      <c r="H288" s="113" t="str">
        <f>IFERROR(IF(COUNTIF(INDEX(#REF!,A288),"*year*")&gt;0,IF(INDEX(#REF!,A288)*INDEX(#REF!,A288)&lt;pers_3yPhD_min_months,$B$131,""),""),"")</f>
        <v/>
      </c>
      <c r="I288" s="113" t="str">
        <f>IFERROR(IF(COUNTIF(INDEX(#REF!,A288),"*PDEng*")&gt;0,IF(OR(IFERROR(MATCH("*PhD*",#REF!,0),0)&gt;0,IFERROR(MATCH("*PostDoc*",#REF!,0),0)&gt;0),"",$B$132),""),"")</f>
        <v/>
      </c>
      <c r="J288" s="113" t="str">
        <f>IFERROR(IF(COUNTIF(INDEX(#REF!,A288),"*PDEng*")&gt;0,IF(INDEX(#REF!,A288)*INDEX(#REF!,A288)&gt;pers_PDEng_max_months,$B$133,""),""),"")</f>
        <v/>
      </c>
      <c r="K288" s="113" t="str">
        <f>IFERROR(IF(COUNTIF(INDEX(#REF!,A288),"*PostDoc*")&gt;0,IF(INDEX(#REF!,A288)*INDEX(#REF!,A288)&lt;pers_PD_min_months,$B$134,""),""),"")</f>
        <v/>
      </c>
      <c r="L288" s="113" t="str">
        <f>IFERROR(IF(COUNTIF(INDEX(#REF!,A288),"*PostDoc*")&gt;0,IF(INDEX(#REF!,A288)*INDEX(#REF!,A288)&gt;pers_PD_max_months,$B$135,""),""),"")</f>
        <v/>
      </c>
      <c r="M288" s="113" t="str">
        <f>IFERROR(IF(COUNTIF(INDEX(#REF!,A288),"*Non-scientific*")&gt;0,IF(OR(IFERROR(MATCH("*PhD*",#REF!,0),0)&gt;0,IFERROR(MATCH("*PostDoc*",#REF!,0),0)&gt;0),"",$B$136),""),"")</f>
        <v/>
      </c>
      <c r="N288" s="113" t="str">
        <f>IFERROR(IF(COUNTIF(INDEX(#REF!,A288),"*Non-scientific*")&gt;0,IF(Total_NSP&gt;pers_max_NSP,$B$137,""),""),"")</f>
        <v/>
      </c>
      <c r="O288" s="113" t="str">
        <f>IFERROR(IF(COUNTIF(INDEX(#REF!,A288),"*Non-scientific*")&gt;0,IF(INDEX(#REF!,A288)*INDEX(#REF!,A288)&lt;pers_NSP_min_months,$B$138,""),""),"")</f>
        <v/>
      </c>
      <c r="P288" s="113" t="str">
        <f>IFERROR(IF(COUNTIF(INDEX(#REF!,A288),"*Non-scientific*")&gt;0,IF(INDEX(#REF!,A288)*INDEX(#REF!,A288)&gt;pers_NSP_max_months,$B$139,""),""),"")</f>
        <v/>
      </c>
      <c r="Q288" s="113" t="str">
        <f>IFERROR(IF(COUNTIF(INDEX(#REF!,A288),"*Other scientific*")&gt;0,IF(OR(IFERROR(MATCH("*PhD*",#REF!,0),0)&gt;0,IFERROR(MATCH("*PostDoc*",#REF!,0),0)&gt;0),"",$B$140),""),"")</f>
        <v/>
      </c>
      <c r="R288" s="113" t="str">
        <f>IFERROR(IF(COUNTIF(INDEX(#REF!,A288),"*Other scientific*")&gt;0,IF(Total_OSP&gt;pers_max_OSP,$B$141,""),""),"")</f>
        <v/>
      </c>
      <c r="S288" s="113" t="str">
        <f>IFERROR(IF(COUNTIF(INDEX(#REF!,A288),"*Other scientific*")&gt;0,IF(INDEX(#REF!,A288)*INDEX(#REF!,A288)&lt;pers_OSP_min_months,$B$142,""),""),"")</f>
        <v/>
      </c>
      <c r="T288" s="113" t="str">
        <f>IFERROR(IF(COUNTIF(INDEX(#REF!,A288),"*Other scientific*")&gt;0,IF(INDEX(#REF!,A288)*INDEX(#REF!,A288)&gt;pers_OSP_max_months,$B$143,""),""),"")</f>
        <v/>
      </c>
      <c r="U288" s="113" t="str">
        <f>IFERROR(IF(COUNTIF(INDEX(#REF!,A288),"*leave*")&gt;0,IF(Total_Research_leave&gt;pers_leave_maxperc*Total_NWO_funding,$B$144,""),""),"")</f>
        <v/>
      </c>
      <c r="V288" s="113" t="str">
        <f>IFERROR(IF(COUNTIF(INDEX(#REF!,A288),"*leave*")&gt;0,IF(Research_leave_FTE_months&gt;pers_leave_maxduration,$B$145,""),""),"")</f>
        <v/>
      </c>
      <c r="W288" s="113" t="str">
        <f>IFERROR(IF(AND(INDEX(#REF!,A288)=0,INDEX(salaries_academic[[category]:[1]],MATCH(INDEX(#REF!,A288),salaries_academic[category],0),3)=0),$B$148,""),"")</f>
        <v/>
      </c>
      <c r="X288" s="113" t="e">
        <f>IF(AND(organisation_type="yes",INDEX(#REF!,A288,1)&lt;&gt;"",ISBLANK(INDEX(#REF!,A288,1))),$B$146,"")</f>
        <v>#REF!</v>
      </c>
      <c r="Y288" s="113" t="e">
        <f>IF(AND(organisation_name="yes",INDEX(#REF!,A288,1)&lt;&gt;"",ISBLANK(INDEX(#REF!,A288,1))),$B$147,"")</f>
        <v>#REF!</v>
      </c>
      <c r="Z288" s="113" t="str">
        <f>IFERROR(IF(AND(INDEX(#REF!,A288)&gt;0,INDEX(salaries_academic[[category]:[1]],MATCH(INDEX(#REF!,A288),salaries_academic[category],0),3)&gt;0),$B$149,""),"")</f>
        <v/>
      </c>
    </row>
    <row r="289" spans="1:26" outlineLevel="1" x14ac:dyDescent="0.35">
      <c r="A289" s="113">
        <v>82</v>
      </c>
      <c r="B289" s="113" t="str">
        <f t="array" ref="B289">IFERROR(INDEX(personnel_ac_notes[[#This Row],[Exceeding nr months]:[Costs specified]],1,MATCH(TRUE,LEN(personnel_ac_notes[[#This Row],[Exceeding nr months]:[Costs specified]])&gt;0,0)),"")</f>
        <v/>
      </c>
      <c r="C289" s="113" t="str">
        <f>IFERROR(IF(INDEX(#REF!,A289)&gt;Max_project_duration,$B$128,""),"")</f>
        <v/>
      </c>
      <c r="D289" s="113" t="str">
        <f>IFERROR(IF(AND(LEN(INDEX(#REF!,A289))+LEN(INDEX(#REF!,A289))+LEN(INDEX(#REF!,A289))&gt;0,LEN(INDEX(#REF!,A289-1))+LEN(INDEX(#REF!,A289-1))+LEN(INDEX(#REF!,A289-1))=0),$B$127,""),"")</f>
        <v/>
      </c>
      <c r="E289" s="113" t="str">
        <f>IF(AND(NOT(ISBLANK(INDEX(#REF!,A289))),OR(ISBLANK(INDEX(#REF!,A289)),ISBLANK(INDEX(#REF!,A289)))),VLOOKUP(INDEX(#REF!,A289),salaries_academic[],2,FALSE),"")</f>
        <v/>
      </c>
      <c r="F289" s="113" t="str">
        <f>IFERROR(IF(COUNTIF(INDEX(#REF!,A289),"*- PhD*")&gt;0,IF(INDEX(#REF!,A289)*INDEX(#REF!,A289)&lt;pers_PhD_min_months,$B$129,""),""),"")</f>
        <v/>
      </c>
      <c r="G289" s="113" t="str">
        <f>IFERROR(IF(COUNTIF(INDEX(#REF!,$A289),"*- PhD*")&gt;0,IF(INDEX(#REF!,$A289)*INDEX(#REF!,$A289)&gt;pers_PhD_max_months,$B$130,""),""),"")</f>
        <v/>
      </c>
      <c r="H289" s="113" t="str">
        <f>IFERROR(IF(COUNTIF(INDEX(#REF!,A289),"*year*")&gt;0,IF(INDEX(#REF!,A289)*INDEX(#REF!,A289)&lt;pers_3yPhD_min_months,$B$131,""),""),"")</f>
        <v/>
      </c>
      <c r="I289" s="113" t="str">
        <f>IFERROR(IF(COUNTIF(INDEX(#REF!,A289),"*PDEng*")&gt;0,IF(OR(IFERROR(MATCH("*PhD*",#REF!,0),0)&gt;0,IFERROR(MATCH("*PostDoc*",#REF!,0),0)&gt;0),"",$B$132),""),"")</f>
        <v/>
      </c>
      <c r="J289" s="113" t="str">
        <f>IFERROR(IF(COUNTIF(INDEX(#REF!,A289),"*PDEng*")&gt;0,IF(INDEX(#REF!,A289)*INDEX(#REF!,A289)&gt;pers_PDEng_max_months,$B$133,""),""),"")</f>
        <v/>
      </c>
      <c r="K289" s="113" t="str">
        <f>IFERROR(IF(COUNTIF(INDEX(#REF!,A289),"*PostDoc*")&gt;0,IF(INDEX(#REF!,A289)*INDEX(#REF!,A289)&lt;pers_PD_min_months,$B$134,""),""),"")</f>
        <v/>
      </c>
      <c r="L289" s="113" t="str">
        <f>IFERROR(IF(COUNTIF(INDEX(#REF!,A289),"*PostDoc*")&gt;0,IF(INDEX(#REF!,A289)*INDEX(#REF!,A289)&gt;pers_PD_max_months,$B$135,""),""),"")</f>
        <v/>
      </c>
      <c r="M289" s="113" t="str">
        <f>IFERROR(IF(COUNTIF(INDEX(#REF!,A289),"*Non-scientific*")&gt;0,IF(OR(IFERROR(MATCH("*PhD*",#REF!,0),0)&gt;0,IFERROR(MATCH("*PostDoc*",#REF!,0),0)&gt;0),"",$B$136),""),"")</f>
        <v/>
      </c>
      <c r="N289" s="113" t="str">
        <f>IFERROR(IF(COUNTIF(INDEX(#REF!,A289),"*Non-scientific*")&gt;0,IF(Total_NSP&gt;pers_max_NSP,$B$137,""),""),"")</f>
        <v/>
      </c>
      <c r="O289" s="113" t="str">
        <f>IFERROR(IF(COUNTIF(INDEX(#REF!,A289),"*Non-scientific*")&gt;0,IF(INDEX(#REF!,A289)*INDEX(#REF!,A289)&lt;pers_NSP_min_months,$B$138,""),""),"")</f>
        <v/>
      </c>
      <c r="P289" s="113" t="str">
        <f>IFERROR(IF(COUNTIF(INDEX(#REF!,A289),"*Non-scientific*")&gt;0,IF(INDEX(#REF!,A289)*INDEX(#REF!,A289)&gt;pers_NSP_max_months,$B$139,""),""),"")</f>
        <v/>
      </c>
      <c r="Q289" s="113" t="str">
        <f>IFERROR(IF(COUNTIF(INDEX(#REF!,A289),"*Other scientific*")&gt;0,IF(OR(IFERROR(MATCH("*PhD*",#REF!,0),0)&gt;0,IFERROR(MATCH("*PostDoc*",#REF!,0),0)&gt;0),"",$B$140),""),"")</f>
        <v/>
      </c>
      <c r="R289" s="113" t="str">
        <f>IFERROR(IF(COUNTIF(INDEX(#REF!,A289),"*Other scientific*")&gt;0,IF(Total_OSP&gt;pers_max_OSP,$B$141,""),""),"")</f>
        <v/>
      </c>
      <c r="S289" s="113" t="str">
        <f>IFERROR(IF(COUNTIF(INDEX(#REF!,A289),"*Other scientific*")&gt;0,IF(INDEX(#REF!,A289)*INDEX(#REF!,A289)&lt;pers_OSP_min_months,$B$142,""),""),"")</f>
        <v/>
      </c>
      <c r="T289" s="113" t="str">
        <f>IFERROR(IF(COUNTIF(INDEX(#REF!,A289),"*Other scientific*")&gt;0,IF(INDEX(#REF!,A289)*INDEX(#REF!,A289)&gt;pers_OSP_max_months,$B$143,""),""),"")</f>
        <v/>
      </c>
      <c r="U289" s="113" t="str">
        <f>IFERROR(IF(COUNTIF(INDEX(#REF!,A289),"*leave*")&gt;0,IF(Total_Research_leave&gt;pers_leave_maxperc*Total_NWO_funding,$B$144,""),""),"")</f>
        <v/>
      </c>
      <c r="V289" s="113" t="str">
        <f>IFERROR(IF(COUNTIF(INDEX(#REF!,A289),"*leave*")&gt;0,IF(Research_leave_FTE_months&gt;pers_leave_maxduration,$B$145,""),""),"")</f>
        <v/>
      </c>
      <c r="W289" s="113" t="str">
        <f>IFERROR(IF(AND(INDEX(#REF!,A289)=0,INDEX(salaries_academic[[category]:[1]],MATCH(INDEX(#REF!,A289),salaries_academic[category],0),3)=0),$B$148,""),"")</f>
        <v/>
      </c>
      <c r="X289" s="113" t="e">
        <f>IF(AND(organisation_type="yes",INDEX(#REF!,A289,1)&lt;&gt;"",ISBLANK(INDEX(#REF!,A289,1))),$B$146,"")</f>
        <v>#REF!</v>
      </c>
      <c r="Y289" s="113" t="e">
        <f>IF(AND(organisation_name="yes",INDEX(#REF!,A289,1)&lt;&gt;"",ISBLANK(INDEX(#REF!,A289,1))),$B$147,"")</f>
        <v>#REF!</v>
      </c>
      <c r="Z289" s="113" t="str">
        <f>IFERROR(IF(AND(INDEX(#REF!,A289)&gt;0,INDEX(salaries_academic[[category]:[1]],MATCH(INDEX(#REF!,A289),salaries_academic[category],0),3)&gt;0),$B$149,""),"")</f>
        <v/>
      </c>
    </row>
    <row r="290" spans="1:26" outlineLevel="1" x14ac:dyDescent="0.35">
      <c r="A290" s="113">
        <v>83</v>
      </c>
      <c r="B290" s="113" t="str">
        <f t="array" ref="B290">IFERROR(INDEX(personnel_ac_notes[[#This Row],[Exceeding nr months]:[Costs specified]],1,MATCH(TRUE,LEN(personnel_ac_notes[[#This Row],[Exceeding nr months]:[Costs specified]])&gt;0,0)),"")</f>
        <v/>
      </c>
      <c r="C290" s="113" t="str">
        <f>IFERROR(IF(INDEX(#REF!,A290)&gt;Max_project_duration,$B$128,""),"")</f>
        <v/>
      </c>
      <c r="D290" s="113" t="str">
        <f>IFERROR(IF(AND(LEN(INDEX(#REF!,A290))+LEN(INDEX(#REF!,A290))+LEN(INDEX(#REF!,A290))&gt;0,LEN(INDEX(#REF!,A290-1))+LEN(INDEX(#REF!,A290-1))+LEN(INDEX(#REF!,A290-1))=0),$B$127,""),"")</f>
        <v/>
      </c>
      <c r="E290" s="113" t="str">
        <f>IF(AND(NOT(ISBLANK(INDEX(#REF!,A290))),OR(ISBLANK(INDEX(#REF!,A290)),ISBLANK(INDEX(#REF!,A290)))),VLOOKUP(INDEX(#REF!,A290),salaries_academic[],2,FALSE),"")</f>
        <v/>
      </c>
      <c r="F290" s="113" t="str">
        <f>IFERROR(IF(COUNTIF(INDEX(#REF!,A290),"*- PhD*")&gt;0,IF(INDEX(#REF!,A290)*INDEX(#REF!,A290)&lt;pers_PhD_min_months,$B$129,""),""),"")</f>
        <v/>
      </c>
      <c r="G290" s="113" t="str">
        <f>IFERROR(IF(COUNTIF(INDEX(#REF!,$A290),"*- PhD*")&gt;0,IF(INDEX(#REF!,$A290)*INDEX(#REF!,$A290)&gt;pers_PhD_max_months,$B$130,""),""),"")</f>
        <v/>
      </c>
      <c r="H290" s="113" t="str">
        <f>IFERROR(IF(COUNTIF(INDEX(#REF!,A290),"*year*")&gt;0,IF(INDEX(#REF!,A290)*INDEX(#REF!,A290)&lt;pers_3yPhD_min_months,$B$131,""),""),"")</f>
        <v/>
      </c>
      <c r="I290" s="113" t="str">
        <f>IFERROR(IF(COUNTIF(INDEX(#REF!,A290),"*PDEng*")&gt;0,IF(OR(IFERROR(MATCH("*PhD*",#REF!,0),0)&gt;0,IFERROR(MATCH("*PostDoc*",#REF!,0),0)&gt;0),"",$B$132),""),"")</f>
        <v/>
      </c>
      <c r="J290" s="113" t="str">
        <f>IFERROR(IF(COUNTIF(INDEX(#REF!,A290),"*PDEng*")&gt;0,IF(INDEX(#REF!,A290)*INDEX(#REF!,A290)&gt;pers_PDEng_max_months,$B$133,""),""),"")</f>
        <v/>
      </c>
      <c r="K290" s="113" t="str">
        <f>IFERROR(IF(COUNTIF(INDEX(#REF!,A290),"*PostDoc*")&gt;0,IF(INDEX(#REF!,A290)*INDEX(#REF!,A290)&lt;pers_PD_min_months,$B$134,""),""),"")</f>
        <v/>
      </c>
      <c r="L290" s="113" t="str">
        <f>IFERROR(IF(COUNTIF(INDEX(#REF!,A290),"*PostDoc*")&gt;0,IF(INDEX(#REF!,A290)*INDEX(#REF!,A290)&gt;pers_PD_max_months,$B$135,""),""),"")</f>
        <v/>
      </c>
      <c r="M290" s="113" t="str">
        <f>IFERROR(IF(COUNTIF(INDEX(#REF!,A290),"*Non-scientific*")&gt;0,IF(OR(IFERROR(MATCH("*PhD*",#REF!,0),0)&gt;0,IFERROR(MATCH("*PostDoc*",#REF!,0),0)&gt;0),"",$B$136),""),"")</f>
        <v/>
      </c>
      <c r="N290" s="113" t="str">
        <f>IFERROR(IF(COUNTIF(INDEX(#REF!,A290),"*Non-scientific*")&gt;0,IF(Total_NSP&gt;pers_max_NSP,$B$137,""),""),"")</f>
        <v/>
      </c>
      <c r="O290" s="113" t="str">
        <f>IFERROR(IF(COUNTIF(INDEX(#REF!,A290),"*Non-scientific*")&gt;0,IF(INDEX(#REF!,A290)*INDEX(#REF!,A290)&lt;pers_NSP_min_months,$B$138,""),""),"")</f>
        <v/>
      </c>
      <c r="P290" s="113" t="str">
        <f>IFERROR(IF(COUNTIF(INDEX(#REF!,A290),"*Non-scientific*")&gt;0,IF(INDEX(#REF!,A290)*INDEX(#REF!,A290)&gt;pers_NSP_max_months,$B$139,""),""),"")</f>
        <v/>
      </c>
      <c r="Q290" s="113" t="str">
        <f>IFERROR(IF(COUNTIF(INDEX(#REF!,A290),"*Other scientific*")&gt;0,IF(OR(IFERROR(MATCH("*PhD*",#REF!,0),0)&gt;0,IFERROR(MATCH("*PostDoc*",#REF!,0),0)&gt;0),"",$B$140),""),"")</f>
        <v/>
      </c>
      <c r="R290" s="113" t="str">
        <f>IFERROR(IF(COUNTIF(INDEX(#REF!,A290),"*Other scientific*")&gt;0,IF(Total_OSP&gt;pers_max_OSP,$B$141,""),""),"")</f>
        <v/>
      </c>
      <c r="S290" s="113" t="str">
        <f>IFERROR(IF(COUNTIF(INDEX(#REF!,A290),"*Other scientific*")&gt;0,IF(INDEX(#REF!,A290)*INDEX(#REF!,A290)&lt;pers_OSP_min_months,$B$142,""),""),"")</f>
        <v/>
      </c>
      <c r="T290" s="113" t="str">
        <f>IFERROR(IF(COUNTIF(INDEX(#REF!,A290),"*Other scientific*")&gt;0,IF(INDEX(#REF!,A290)*INDEX(#REF!,A290)&gt;pers_OSP_max_months,$B$143,""),""),"")</f>
        <v/>
      </c>
      <c r="U290" s="113" t="str">
        <f>IFERROR(IF(COUNTIF(INDEX(#REF!,A290),"*leave*")&gt;0,IF(Total_Research_leave&gt;pers_leave_maxperc*Total_NWO_funding,$B$144,""),""),"")</f>
        <v/>
      </c>
      <c r="V290" s="113" t="str">
        <f>IFERROR(IF(COUNTIF(INDEX(#REF!,A290),"*leave*")&gt;0,IF(Research_leave_FTE_months&gt;pers_leave_maxduration,$B$145,""),""),"")</f>
        <v/>
      </c>
      <c r="W290" s="113" t="str">
        <f>IFERROR(IF(AND(INDEX(#REF!,A290)=0,INDEX(salaries_academic[[category]:[1]],MATCH(INDEX(#REF!,A290),salaries_academic[category],0),3)=0),$B$148,""),"")</f>
        <v/>
      </c>
      <c r="X290" s="113" t="e">
        <f>IF(AND(organisation_type="yes",INDEX(#REF!,A290,1)&lt;&gt;"",ISBLANK(INDEX(#REF!,A290,1))),$B$146,"")</f>
        <v>#REF!</v>
      </c>
      <c r="Y290" s="113" t="e">
        <f>IF(AND(organisation_name="yes",INDEX(#REF!,A290,1)&lt;&gt;"",ISBLANK(INDEX(#REF!,A290,1))),$B$147,"")</f>
        <v>#REF!</v>
      </c>
      <c r="Z290" s="113" t="str">
        <f>IFERROR(IF(AND(INDEX(#REF!,A290)&gt;0,INDEX(salaries_academic[[category]:[1]],MATCH(INDEX(#REF!,A290),salaries_academic[category],0),3)&gt;0),$B$149,""),"")</f>
        <v/>
      </c>
    </row>
    <row r="291" spans="1:26" outlineLevel="1" x14ac:dyDescent="0.35">
      <c r="A291" s="113">
        <v>84</v>
      </c>
      <c r="B291" s="113" t="str">
        <f t="array" ref="B291">IFERROR(INDEX(personnel_ac_notes[[#This Row],[Exceeding nr months]:[Costs specified]],1,MATCH(TRUE,LEN(personnel_ac_notes[[#This Row],[Exceeding nr months]:[Costs specified]])&gt;0,0)),"")</f>
        <v/>
      </c>
      <c r="C291" s="113" t="str">
        <f>IFERROR(IF(INDEX(#REF!,A291)&gt;Max_project_duration,$B$128,""),"")</f>
        <v/>
      </c>
      <c r="D291" s="113" t="str">
        <f>IFERROR(IF(AND(LEN(INDEX(#REF!,A291))+LEN(INDEX(#REF!,A291))+LEN(INDEX(#REF!,A291))&gt;0,LEN(INDEX(#REF!,A291-1))+LEN(INDEX(#REF!,A291-1))+LEN(INDEX(#REF!,A291-1))=0),$B$127,""),"")</f>
        <v/>
      </c>
      <c r="E291" s="113" t="str">
        <f>IF(AND(NOT(ISBLANK(INDEX(#REF!,A291))),OR(ISBLANK(INDEX(#REF!,A291)),ISBLANK(INDEX(#REF!,A291)))),VLOOKUP(INDEX(#REF!,A291),salaries_academic[],2,FALSE),"")</f>
        <v/>
      </c>
      <c r="F291" s="113" t="str">
        <f>IFERROR(IF(COUNTIF(INDEX(#REF!,A291),"*- PhD*")&gt;0,IF(INDEX(#REF!,A291)*INDEX(#REF!,A291)&lt;pers_PhD_min_months,$B$129,""),""),"")</f>
        <v/>
      </c>
      <c r="G291" s="113" t="str">
        <f>IFERROR(IF(COUNTIF(INDEX(#REF!,$A291),"*- PhD*")&gt;0,IF(INDEX(#REF!,$A291)*INDEX(#REF!,$A291)&gt;pers_PhD_max_months,$B$130,""),""),"")</f>
        <v/>
      </c>
      <c r="H291" s="113" t="str">
        <f>IFERROR(IF(COUNTIF(INDEX(#REF!,A291),"*year*")&gt;0,IF(INDEX(#REF!,A291)*INDEX(#REF!,A291)&lt;pers_3yPhD_min_months,$B$131,""),""),"")</f>
        <v/>
      </c>
      <c r="I291" s="113" t="str">
        <f>IFERROR(IF(COUNTIF(INDEX(#REF!,A291),"*PDEng*")&gt;0,IF(OR(IFERROR(MATCH("*PhD*",#REF!,0),0)&gt;0,IFERROR(MATCH("*PostDoc*",#REF!,0),0)&gt;0),"",$B$132),""),"")</f>
        <v/>
      </c>
      <c r="J291" s="113" t="str">
        <f>IFERROR(IF(COUNTIF(INDEX(#REF!,A291),"*PDEng*")&gt;0,IF(INDEX(#REF!,A291)*INDEX(#REF!,A291)&gt;pers_PDEng_max_months,$B$133,""),""),"")</f>
        <v/>
      </c>
      <c r="K291" s="113" t="str">
        <f>IFERROR(IF(COUNTIF(INDEX(#REF!,A291),"*PostDoc*")&gt;0,IF(INDEX(#REF!,A291)*INDEX(#REF!,A291)&lt;pers_PD_min_months,$B$134,""),""),"")</f>
        <v/>
      </c>
      <c r="L291" s="113" t="str">
        <f>IFERROR(IF(COUNTIF(INDEX(#REF!,A291),"*PostDoc*")&gt;0,IF(INDEX(#REF!,A291)*INDEX(#REF!,A291)&gt;pers_PD_max_months,$B$135,""),""),"")</f>
        <v/>
      </c>
      <c r="M291" s="113" t="str">
        <f>IFERROR(IF(COUNTIF(INDEX(#REF!,A291),"*Non-scientific*")&gt;0,IF(OR(IFERROR(MATCH("*PhD*",#REF!,0),0)&gt;0,IFERROR(MATCH("*PostDoc*",#REF!,0),0)&gt;0),"",$B$136),""),"")</f>
        <v/>
      </c>
      <c r="N291" s="113" t="str">
        <f>IFERROR(IF(COUNTIF(INDEX(#REF!,A291),"*Non-scientific*")&gt;0,IF(Total_NSP&gt;pers_max_NSP,$B$137,""),""),"")</f>
        <v/>
      </c>
      <c r="O291" s="113" t="str">
        <f>IFERROR(IF(COUNTIF(INDEX(#REF!,A291),"*Non-scientific*")&gt;0,IF(INDEX(#REF!,A291)*INDEX(#REF!,A291)&lt;pers_NSP_min_months,$B$138,""),""),"")</f>
        <v/>
      </c>
      <c r="P291" s="113" t="str">
        <f>IFERROR(IF(COUNTIF(INDEX(#REF!,A291),"*Non-scientific*")&gt;0,IF(INDEX(#REF!,A291)*INDEX(#REF!,A291)&gt;pers_NSP_max_months,$B$139,""),""),"")</f>
        <v/>
      </c>
      <c r="Q291" s="113" t="str">
        <f>IFERROR(IF(COUNTIF(INDEX(#REF!,A291),"*Other scientific*")&gt;0,IF(OR(IFERROR(MATCH("*PhD*",#REF!,0),0)&gt;0,IFERROR(MATCH("*PostDoc*",#REF!,0),0)&gt;0),"",$B$140),""),"")</f>
        <v/>
      </c>
      <c r="R291" s="113" t="str">
        <f>IFERROR(IF(COUNTIF(INDEX(#REF!,A291),"*Other scientific*")&gt;0,IF(Total_OSP&gt;pers_max_OSP,$B$141,""),""),"")</f>
        <v/>
      </c>
      <c r="S291" s="113" t="str">
        <f>IFERROR(IF(COUNTIF(INDEX(#REF!,A291),"*Other scientific*")&gt;0,IF(INDEX(#REF!,A291)*INDEX(#REF!,A291)&lt;pers_OSP_min_months,$B$142,""),""),"")</f>
        <v/>
      </c>
      <c r="T291" s="113" t="str">
        <f>IFERROR(IF(COUNTIF(INDEX(#REF!,A291),"*Other scientific*")&gt;0,IF(INDEX(#REF!,A291)*INDEX(#REF!,A291)&gt;pers_OSP_max_months,$B$143,""),""),"")</f>
        <v/>
      </c>
      <c r="U291" s="113" t="str">
        <f>IFERROR(IF(COUNTIF(INDEX(#REF!,A291),"*leave*")&gt;0,IF(Total_Research_leave&gt;pers_leave_maxperc*Total_NWO_funding,$B$144,""),""),"")</f>
        <v/>
      </c>
      <c r="V291" s="113" t="str">
        <f>IFERROR(IF(COUNTIF(INDEX(#REF!,A291),"*leave*")&gt;0,IF(Research_leave_FTE_months&gt;pers_leave_maxduration,$B$145,""),""),"")</f>
        <v/>
      </c>
      <c r="W291" s="113" t="str">
        <f>IFERROR(IF(AND(INDEX(#REF!,A291)=0,INDEX(salaries_academic[[category]:[1]],MATCH(INDEX(#REF!,A291),salaries_academic[category],0),3)=0),$B$148,""),"")</f>
        <v/>
      </c>
      <c r="X291" s="113" t="e">
        <f>IF(AND(organisation_type="yes",INDEX(#REF!,A291,1)&lt;&gt;"",ISBLANK(INDEX(#REF!,A291,1))),$B$146,"")</f>
        <v>#REF!</v>
      </c>
      <c r="Y291" s="113" t="e">
        <f>IF(AND(organisation_name="yes",INDEX(#REF!,A291,1)&lt;&gt;"",ISBLANK(INDEX(#REF!,A291,1))),$B$147,"")</f>
        <v>#REF!</v>
      </c>
      <c r="Z291" s="113" t="str">
        <f>IFERROR(IF(AND(INDEX(#REF!,A291)&gt;0,INDEX(salaries_academic[[category]:[1]],MATCH(INDEX(#REF!,A291),salaries_academic[category],0),3)&gt;0),$B$149,""),"")</f>
        <v/>
      </c>
    </row>
    <row r="292" spans="1:26" outlineLevel="1" x14ac:dyDescent="0.35">
      <c r="A292" s="113">
        <v>85</v>
      </c>
      <c r="B292" s="113" t="str">
        <f t="array" ref="B292">IFERROR(INDEX(personnel_ac_notes[[#This Row],[Exceeding nr months]:[Costs specified]],1,MATCH(TRUE,LEN(personnel_ac_notes[[#This Row],[Exceeding nr months]:[Costs specified]])&gt;0,0)),"")</f>
        <v/>
      </c>
      <c r="C292" s="113" t="str">
        <f>IFERROR(IF(INDEX(#REF!,A292)&gt;Max_project_duration,$B$128,""),"")</f>
        <v/>
      </c>
      <c r="D292" s="113" t="str">
        <f>IFERROR(IF(AND(LEN(INDEX(#REF!,A292))+LEN(INDEX(#REF!,A292))+LEN(INDEX(#REF!,A292))&gt;0,LEN(INDEX(#REF!,A292-1))+LEN(INDEX(#REF!,A292-1))+LEN(INDEX(#REF!,A292-1))=0),$B$127,""),"")</f>
        <v/>
      </c>
      <c r="E292" s="113" t="str">
        <f>IF(AND(NOT(ISBLANK(INDEX(#REF!,A292))),OR(ISBLANK(INDEX(#REF!,A292)),ISBLANK(INDEX(#REF!,A292)))),VLOOKUP(INDEX(#REF!,A292),salaries_academic[],2,FALSE),"")</f>
        <v/>
      </c>
      <c r="F292" s="113" t="str">
        <f>IFERROR(IF(COUNTIF(INDEX(#REF!,A292),"*- PhD*")&gt;0,IF(INDEX(#REF!,A292)*INDEX(#REF!,A292)&lt;pers_PhD_min_months,$B$129,""),""),"")</f>
        <v/>
      </c>
      <c r="G292" s="113" t="str">
        <f>IFERROR(IF(COUNTIF(INDEX(#REF!,$A292),"*- PhD*")&gt;0,IF(INDEX(#REF!,$A292)*INDEX(#REF!,$A292)&gt;pers_PhD_max_months,$B$130,""),""),"")</f>
        <v/>
      </c>
      <c r="H292" s="113" t="str">
        <f>IFERROR(IF(COUNTIF(INDEX(#REF!,A292),"*year*")&gt;0,IF(INDEX(#REF!,A292)*INDEX(#REF!,A292)&lt;pers_3yPhD_min_months,$B$131,""),""),"")</f>
        <v/>
      </c>
      <c r="I292" s="113" t="str">
        <f>IFERROR(IF(COUNTIF(INDEX(#REF!,A292),"*PDEng*")&gt;0,IF(OR(IFERROR(MATCH("*PhD*",#REF!,0),0)&gt;0,IFERROR(MATCH("*PostDoc*",#REF!,0),0)&gt;0),"",$B$132),""),"")</f>
        <v/>
      </c>
      <c r="J292" s="113" t="str">
        <f>IFERROR(IF(COUNTIF(INDEX(#REF!,A292),"*PDEng*")&gt;0,IF(INDEX(#REF!,A292)*INDEX(#REF!,A292)&gt;pers_PDEng_max_months,$B$133,""),""),"")</f>
        <v/>
      </c>
      <c r="K292" s="113" t="str">
        <f>IFERROR(IF(COUNTIF(INDEX(#REF!,A292),"*PostDoc*")&gt;0,IF(INDEX(#REF!,A292)*INDEX(#REF!,A292)&lt;pers_PD_min_months,$B$134,""),""),"")</f>
        <v/>
      </c>
      <c r="L292" s="113" t="str">
        <f>IFERROR(IF(COUNTIF(INDEX(#REF!,A292),"*PostDoc*")&gt;0,IF(INDEX(#REF!,A292)*INDEX(#REF!,A292)&gt;pers_PD_max_months,$B$135,""),""),"")</f>
        <v/>
      </c>
      <c r="M292" s="113" t="str">
        <f>IFERROR(IF(COUNTIF(INDEX(#REF!,A292),"*Non-scientific*")&gt;0,IF(OR(IFERROR(MATCH("*PhD*",#REF!,0),0)&gt;0,IFERROR(MATCH("*PostDoc*",#REF!,0),0)&gt;0),"",$B$136),""),"")</f>
        <v/>
      </c>
      <c r="N292" s="113" t="str">
        <f>IFERROR(IF(COUNTIF(INDEX(#REF!,A292),"*Non-scientific*")&gt;0,IF(Total_NSP&gt;pers_max_NSP,$B$137,""),""),"")</f>
        <v/>
      </c>
      <c r="O292" s="113" t="str">
        <f>IFERROR(IF(COUNTIF(INDEX(#REF!,A292),"*Non-scientific*")&gt;0,IF(INDEX(#REF!,A292)*INDEX(#REF!,A292)&lt;pers_NSP_min_months,$B$138,""),""),"")</f>
        <v/>
      </c>
      <c r="P292" s="113" t="str">
        <f>IFERROR(IF(COUNTIF(INDEX(#REF!,A292),"*Non-scientific*")&gt;0,IF(INDEX(#REF!,A292)*INDEX(#REF!,A292)&gt;pers_NSP_max_months,$B$139,""),""),"")</f>
        <v/>
      </c>
      <c r="Q292" s="113" t="str">
        <f>IFERROR(IF(COUNTIF(INDEX(#REF!,A292),"*Other scientific*")&gt;0,IF(OR(IFERROR(MATCH("*PhD*",#REF!,0),0)&gt;0,IFERROR(MATCH("*PostDoc*",#REF!,0),0)&gt;0),"",$B$140),""),"")</f>
        <v/>
      </c>
      <c r="R292" s="113" t="str">
        <f>IFERROR(IF(COUNTIF(INDEX(#REF!,A292),"*Other scientific*")&gt;0,IF(Total_OSP&gt;pers_max_OSP,$B$141,""),""),"")</f>
        <v/>
      </c>
      <c r="S292" s="113" t="str">
        <f>IFERROR(IF(COUNTIF(INDEX(#REF!,A292),"*Other scientific*")&gt;0,IF(INDEX(#REF!,A292)*INDEX(#REF!,A292)&lt;pers_OSP_min_months,$B$142,""),""),"")</f>
        <v/>
      </c>
      <c r="T292" s="113" t="str">
        <f>IFERROR(IF(COUNTIF(INDEX(#REF!,A292),"*Other scientific*")&gt;0,IF(INDEX(#REF!,A292)*INDEX(#REF!,A292)&gt;pers_OSP_max_months,$B$143,""),""),"")</f>
        <v/>
      </c>
      <c r="U292" s="113" t="str">
        <f>IFERROR(IF(COUNTIF(INDEX(#REF!,A292),"*leave*")&gt;0,IF(Total_Research_leave&gt;pers_leave_maxperc*Total_NWO_funding,$B$144,""),""),"")</f>
        <v/>
      </c>
      <c r="V292" s="113" t="str">
        <f>IFERROR(IF(COUNTIF(INDEX(#REF!,A292),"*leave*")&gt;0,IF(Research_leave_FTE_months&gt;pers_leave_maxduration,$B$145,""),""),"")</f>
        <v/>
      </c>
      <c r="W292" s="113" t="str">
        <f>IFERROR(IF(AND(INDEX(#REF!,A292)=0,INDEX(salaries_academic[[category]:[1]],MATCH(INDEX(#REF!,A292),salaries_academic[category],0),3)=0),$B$148,""),"")</f>
        <v/>
      </c>
      <c r="X292" s="113" t="e">
        <f>IF(AND(organisation_type="yes",INDEX(#REF!,A292,1)&lt;&gt;"",ISBLANK(INDEX(#REF!,A292,1))),$B$146,"")</f>
        <v>#REF!</v>
      </c>
      <c r="Y292" s="113" t="e">
        <f>IF(AND(organisation_name="yes",INDEX(#REF!,A292,1)&lt;&gt;"",ISBLANK(INDEX(#REF!,A292,1))),$B$147,"")</f>
        <v>#REF!</v>
      </c>
      <c r="Z292" s="113" t="str">
        <f>IFERROR(IF(AND(INDEX(#REF!,A292)&gt;0,INDEX(salaries_academic[[category]:[1]],MATCH(INDEX(#REF!,A292),salaries_academic[category],0),3)&gt;0),$B$149,""),"")</f>
        <v/>
      </c>
    </row>
    <row r="293" spans="1:26" outlineLevel="1" x14ac:dyDescent="0.35">
      <c r="A293" s="113">
        <v>86</v>
      </c>
      <c r="B293" s="113" t="str">
        <f t="array" ref="B293">IFERROR(INDEX(personnel_ac_notes[[#This Row],[Exceeding nr months]:[Costs specified]],1,MATCH(TRUE,LEN(personnel_ac_notes[[#This Row],[Exceeding nr months]:[Costs specified]])&gt;0,0)),"")</f>
        <v/>
      </c>
      <c r="C293" s="113" t="str">
        <f>IFERROR(IF(INDEX(#REF!,A293)&gt;Max_project_duration,$B$128,""),"")</f>
        <v/>
      </c>
      <c r="D293" s="113" t="str">
        <f>IFERROR(IF(AND(LEN(INDEX(#REF!,A293))+LEN(INDEX(#REF!,A293))+LEN(INDEX(#REF!,A293))&gt;0,LEN(INDEX(#REF!,A293-1))+LEN(INDEX(#REF!,A293-1))+LEN(INDEX(#REF!,A293-1))=0),$B$127,""),"")</f>
        <v/>
      </c>
      <c r="E293" s="113" t="str">
        <f>IF(AND(NOT(ISBLANK(INDEX(#REF!,A293))),OR(ISBLANK(INDEX(#REF!,A293)),ISBLANK(INDEX(#REF!,A293)))),VLOOKUP(INDEX(#REF!,A293),salaries_academic[],2,FALSE),"")</f>
        <v/>
      </c>
      <c r="F293" s="113" t="str">
        <f>IFERROR(IF(COUNTIF(INDEX(#REF!,A293),"*- PhD*")&gt;0,IF(INDEX(#REF!,A293)*INDEX(#REF!,A293)&lt;pers_PhD_min_months,$B$129,""),""),"")</f>
        <v/>
      </c>
      <c r="G293" s="113" t="str">
        <f>IFERROR(IF(COUNTIF(INDEX(#REF!,$A293),"*- PhD*")&gt;0,IF(INDEX(#REF!,$A293)*INDEX(#REF!,$A293)&gt;pers_PhD_max_months,$B$130,""),""),"")</f>
        <v/>
      </c>
      <c r="H293" s="113" t="str">
        <f>IFERROR(IF(COUNTIF(INDEX(#REF!,A293),"*year*")&gt;0,IF(INDEX(#REF!,A293)*INDEX(#REF!,A293)&lt;pers_3yPhD_min_months,$B$131,""),""),"")</f>
        <v/>
      </c>
      <c r="I293" s="113" t="str">
        <f>IFERROR(IF(COUNTIF(INDEX(#REF!,A293),"*PDEng*")&gt;0,IF(OR(IFERROR(MATCH("*PhD*",#REF!,0),0)&gt;0,IFERROR(MATCH("*PostDoc*",#REF!,0),0)&gt;0),"",$B$132),""),"")</f>
        <v/>
      </c>
      <c r="J293" s="113" t="str">
        <f>IFERROR(IF(COUNTIF(INDEX(#REF!,A293),"*PDEng*")&gt;0,IF(INDEX(#REF!,A293)*INDEX(#REF!,A293)&gt;pers_PDEng_max_months,$B$133,""),""),"")</f>
        <v/>
      </c>
      <c r="K293" s="113" t="str">
        <f>IFERROR(IF(COUNTIF(INDEX(#REF!,A293),"*PostDoc*")&gt;0,IF(INDEX(#REF!,A293)*INDEX(#REF!,A293)&lt;pers_PD_min_months,$B$134,""),""),"")</f>
        <v/>
      </c>
      <c r="L293" s="113" t="str">
        <f>IFERROR(IF(COUNTIF(INDEX(#REF!,A293),"*PostDoc*")&gt;0,IF(INDEX(#REF!,A293)*INDEX(#REF!,A293)&gt;pers_PD_max_months,$B$135,""),""),"")</f>
        <v/>
      </c>
      <c r="M293" s="113" t="str">
        <f>IFERROR(IF(COUNTIF(INDEX(#REF!,A293),"*Non-scientific*")&gt;0,IF(OR(IFERROR(MATCH("*PhD*",#REF!,0),0)&gt;0,IFERROR(MATCH("*PostDoc*",#REF!,0),0)&gt;0),"",$B$136),""),"")</f>
        <v/>
      </c>
      <c r="N293" s="113" t="str">
        <f>IFERROR(IF(COUNTIF(INDEX(#REF!,A293),"*Non-scientific*")&gt;0,IF(Total_NSP&gt;pers_max_NSP,$B$137,""),""),"")</f>
        <v/>
      </c>
      <c r="O293" s="113" t="str">
        <f>IFERROR(IF(COUNTIF(INDEX(#REF!,A293),"*Non-scientific*")&gt;0,IF(INDEX(#REF!,A293)*INDEX(#REF!,A293)&lt;pers_NSP_min_months,$B$138,""),""),"")</f>
        <v/>
      </c>
      <c r="P293" s="113" t="str">
        <f>IFERROR(IF(COUNTIF(INDEX(#REF!,A293),"*Non-scientific*")&gt;0,IF(INDEX(#REF!,A293)*INDEX(#REF!,A293)&gt;pers_NSP_max_months,$B$139,""),""),"")</f>
        <v/>
      </c>
      <c r="Q293" s="113" t="str">
        <f>IFERROR(IF(COUNTIF(INDEX(#REF!,A293),"*Other scientific*")&gt;0,IF(OR(IFERROR(MATCH("*PhD*",#REF!,0),0)&gt;0,IFERROR(MATCH("*PostDoc*",#REF!,0),0)&gt;0),"",$B$140),""),"")</f>
        <v/>
      </c>
      <c r="R293" s="113" t="str">
        <f>IFERROR(IF(COUNTIF(INDEX(#REF!,A293),"*Other scientific*")&gt;0,IF(Total_OSP&gt;pers_max_OSP,$B$141,""),""),"")</f>
        <v/>
      </c>
      <c r="S293" s="113" t="str">
        <f>IFERROR(IF(COUNTIF(INDEX(#REF!,A293),"*Other scientific*")&gt;0,IF(INDEX(#REF!,A293)*INDEX(#REF!,A293)&lt;pers_OSP_min_months,$B$142,""),""),"")</f>
        <v/>
      </c>
      <c r="T293" s="113" t="str">
        <f>IFERROR(IF(COUNTIF(INDEX(#REF!,A293),"*Other scientific*")&gt;0,IF(INDEX(#REF!,A293)*INDEX(#REF!,A293)&gt;pers_OSP_max_months,$B$143,""),""),"")</f>
        <v/>
      </c>
      <c r="U293" s="113" t="str">
        <f>IFERROR(IF(COUNTIF(INDEX(#REF!,A293),"*leave*")&gt;0,IF(Total_Research_leave&gt;pers_leave_maxperc*Total_NWO_funding,$B$144,""),""),"")</f>
        <v/>
      </c>
      <c r="V293" s="113" t="str">
        <f>IFERROR(IF(COUNTIF(INDEX(#REF!,A293),"*leave*")&gt;0,IF(Research_leave_FTE_months&gt;pers_leave_maxduration,$B$145,""),""),"")</f>
        <v/>
      </c>
      <c r="W293" s="113" t="str">
        <f>IFERROR(IF(AND(INDEX(#REF!,A293)=0,INDEX(salaries_academic[[category]:[1]],MATCH(INDEX(#REF!,A293),salaries_academic[category],0),3)=0),$B$148,""),"")</f>
        <v/>
      </c>
      <c r="X293" s="113" t="e">
        <f>IF(AND(organisation_type="yes",INDEX(#REF!,A293,1)&lt;&gt;"",ISBLANK(INDEX(#REF!,A293,1))),$B$146,"")</f>
        <v>#REF!</v>
      </c>
      <c r="Y293" s="113" t="e">
        <f>IF(AND(organisation_name="yes",INDEX(#REF!,A293,1)&lt;&gt;"",ISBLANK(INDEX(#REF!,A293,1))),$B$147,"")</f>
        <v>#REF!</v>
      </c>
      <c r="Z293" s="113" t="str">
        <f>IFERROR(IF(AND(INDEX(#REF!,A293)&gt;0,INDEX(salaries_academic[[category]:[1]],MATCH(INDEX(#REF!,A293),salaries_academic[category],0),3)&gt;0),$B$149,""),"")</f>
        <v/>
      </c>
    </row>
    <row r="294" spans="1:26" outlineLevel="1" x14ac:dyDescent="0.35">
      <c r="A294" s="113">
        <v>87</v>
      </c>
      <c r="B294" s="113" t="str">
        <f t="array" ref="B294">IFERROR(INDEX(personnel_ac_notes[[#This Row],[Exceeding nr months]:[Costs specified]],1,MATCH(TRUE,LEN(personnel_ac_notes[[#This Row],[Exceeding nr months]:[Costs specified]])&gt;0,0)),"")</f>
        <v/>
      </c>
      <c r="C294" s="113" t="str">
        <f>IFERROR(IF(INDEX(#REF!,A294)&gt;Max_project_duration,$B$128,""),"")</f>
        <v/>
      </c>
      <c r="D294" s="113" t="str">
        <f>IFERROR(IF(AND(LEN(INDEX(#REF!,A294))+LEN(INDEX(#REF!,A294))+LEN(INDEX(#REF!,A294))&gt;0,LEN(INDEX(#REF!,A294-1))+LEN(INDEX(#REF!,A294-1))+LEN(INDEX(#REF!,A294-1))=0),$B$127,""),"")</f>
        <v/>
      </c>
      <c r="E294" s="113" t="str">
        <f>IF(AND(NOT(ISBLANK(INDEX(#REF!,A294))),OR(ISBLANK(INDEX(#REF!,A294)),ISBLANK(INDEX(#REF!,A294)))),VLOOKUP(INDEX(#REF!,A294),salaries_academic[],2,FALSE),"")</f>
        <v/>
      </c>
      <c r="F294" s="113" t="str">
        <f>IFERROR(IF(COUNTIF(INDEX(#REF!,A294),"*- PhD*")&gt;0,IF(INDEX(#REF!,A294)*INDEX(#REF!,A294)&lt;pers_PhD_min_months,$B$129,""),""),"")</f>
        <v/>
      </c>
      <c r="G294" s="113" t="str">
        <f>IFERROR(IF(COUNTIF(INDEX(#REF!,$A294),"*- PhD*")&gt;0,IF(INDEX(#REF!,$A294)*INDEX(#REF!,$A294)&gt;pers_PhD_max_months,$B$130,""),""),"")</f>
        <v/>
      </c>
      <c r="H294" s="113" t="str">
        <f>IFERROR(IF(COUNTIF(INDEX(#REF!,A294),"*year*")&gt;0,IF(INDEX(#REF!,A294)*INDEX(#REF!,A294)&lt;pers_3yPhD_min_months,$B$131,""),""),"")</f>
        <v/>
      </c>
      <c r="I294" s="113" t="str">
        <f>IFERROR(IF(COUNTIF(INDEX(#REF!,A294),"*PDEng*")&gt;0,IF(OR(IFERROR(MATCH("*PhD*",#REF!,0),0)&gt;0,IFERROR(MATCH("*PostDoc*",#REF!,0),0)&gt;0),"",$B$132),""),"")</f>
        <v/>
      </c>
      <c r="J294" s="113" t="str">
        <f>IFERROR(IF(COUNTIF(INDEX(#REF!,A294),"*PDEng*")&gt;0,IF(INDEX(#REF!,A294)*INDEX(#REF!,A294)&gt;pers_PDEng_max_months,$B$133,""),""),"")</f>
        <v/>
      </c>
      <c r="K294" s="113" t="str">
        <f>IFERROR(IF(COUNTIF(INDEX(#REF!,A294),"*PostDoc*")&gt;0,IF(INDEX(#REF!,A294)*INDEX(#REF!,A294)&lt;pers_PD_min_months,$B$134,""),""),"")</f>
        <v/>
      </c>
      <c r="L294" s="113" t="str">
        <f>IFERROR(IF(COUNTIF(INDEX(#REF!,A294),"*PostDoc*")&gt;0,IF(INDEX(#REF!,A294)*INDEX(#REF!,A294)&gt;pers_PD_max_months,$B$135,""),""),"")</f>
        <v/>
      </c>
      <c r="M294" s="113" t="str">
        <f>IFERROR(IF(COUNTIF(INDEX(#REF!,A294),"*Non-scientific*")&gt;0,IF(OR(IFERROR(MATCH("*PhD*",#REF!,0),0)&gt;0,IFERROR(MATCH("*PostDoc*",#REF!,0),0)&gt;0),"",$B$136),""),"")</f>
        <v/>
      </c>
      <c r="N294" s="113" t="str">
        <f>IFERROR(IF(COUNTIF(INDEX(#REF!,A294),"*Non-scientific*")&gt;0,IF(Total_NSP&gt;pers_max_NSP,$B$137,""),""),"")</f>
        <v/>
      </c>
      <c r="O294" s="113" t="str">
        <f>IFERROR(IF(COUNTIF(INDEX(#REF!,A294),"*Non-scientific*")&gt;0,IF(INDEX(#REF!,A294)*INDEX(#REF!,A294)&lt;pers_NSP_min_months,$B$138,""),""),"")</f>
        <v/>
      </c>
      <c r="P294" s="113" t="str">
        <f>IFERROR(IF(COUNTIF(INDEX(#REF!,A294),"*Non-scientific*")&gt;0,IF(INDEX(#REF!,A294)*INDEX(#REF!,A294)&gt;pers_NSP_max_months,$B$139,""),""),"")</f>
        <v/>
      </c>
      <c r="Q294" s="113" t="str">
        <f>IFERROR(IF(COUNTIF(INDEX(#REF!,A294),"*Other scientific*")&gt;0,IF(OR(IFERROR(MATCH("*PhD*",#REF!,0),0)&gt;0,IFERROR(MATCH("*PostDoc*",#REF!,0),0)&gt;0),"",$B$140),""),"")</f>
        <v/>
      </c>
      <c r="R294" s="113" t="str">
        <f>IFERROR(IF(COUNTIF(INDEX(#REF!,A294),"*Other scientific*")&gt;0,IF(Total_OSP&gt;pers_max_OSP,$B$141,""),""),"")</f>
        <v/>
      </c>
      <c r="S294" s="113" t="str">
        <f>IFERROR(IF(COUNTIF(INDEX(#REF!,A294),"*Other scientific*")&gt;0,IF(INDEX(#REF!,A294)*INDEX(#REF!,A294)&lt;pers_OSP_min_months,$B$142,""),""),"")</f>
        <v/>
      </c>
      <c r="T294" s="113" t="str">
        <f>IFERROR(IF(COUNTIF(INDEX(#REF!,A294),"*Other scientific*")&gt;0,IF(INDEX(#REF!,A294)*INDEX(#REF!,A294)&gt;pers_OSP_max_months,$B$143,""),""),"")</f>
        <v/>
      </c>
      <c r="U294" s="113" t="str">
        <f>IFERROR(IF(COUNTIF(INDEX(#REF!,A294),"*leave*")&gt;0,IF(Total_Research_leave&gt;pers_leave_maxperc*Total_NWO_funding,$B$144,""),""),"")</f>
        <v/>
      </c>
      <c r="V294" s="113" t="str">
        <f>IFERROR(IF(COUNTIF(INDEX(#REF!,A294),"*leave*")&gt;0,IF(Research_leave_FTE_months&gt;pers_leave_maxduration,$B$145,""),""),"")</f>
        <v/>
      </c>
      <c r="W294" s="113" t="str">
        <f>IFERROR(IF(AND(INDEX(#REF!,A294)=0,INDEX(salaries_academic[[category]:[1]],MATCH(INDEX(#REF!,A294),salaries_academic[category],0),3)=0),$B$148,""),"")</f>
        <v/>
      </c>
      <c r="X294" s="113" t="e">
        <f>IF(AND(organisation_type="yes",INDEX(#REF!,A294,1)&lt;&gt;"",ISBLANK(INDEX(#REF!,A294,1))),$B$146,"")</f>
        <v>#REF!</v>
      </c>
      <c r="Y294" s="113" t="e">
        <f>IF(AND(organisation_name="yes",INDEX(#REF!,A294,1)&lt;&gt;"",ISBLANK(INDEX(#REF!,A294,1))),$B$147,"")</f>
        <v>#REF!</v>
      </c>
      <c r="Z294" s="113" t="str">
        <f>IFERROR(IF(AND(INDEX(#REF!,A294)&gt;0,INDEX(salaries_academic[[category]:[1]],MATCH(INDEX(#REF!,A294),salaries_academic[category],0),3)&gt;0),$B$149,""),"")</f>
        <v/>
      </c>
    </row>
    <row r="295" spans="1:26" outlineLevel="1" x14ac:dyDescent="0.35">
      <c r="A295" s="113">
        <v>88</v>
      </c>
      <c r="B295" s="113" t="str">
        <f t="array" ref="B295">IFERROR(INDEX(personnel_ac_notes[[#This Row],[Exceeding nr months]:[Costs specified]],1,MATCH(TRUE,LEN(personnel_ac_notes[[#This Row],[Exceeding nr months]:[Costs specified]])&gt;0,0)),"")</f>
        <v/>
      </c>
      <c r="C295" s="113" t="str">
        <f>IFERROR(IF(INDEX(#REF!,A295)&gt;Max_project_duration,$B$128,""),"")</f>
        <v/>
      </c>
      <c r="D295" s="113" t="str">
        <f>IFERROR(IF(AND(LEN(INDEX(#REF!,A295))+LEN(INDEX(#REF!,A295))+LEN(INDEX(#REF!,A295))&gt;0,LEN(INDEX(#REF!,A295-1))+LEN(INDEX(#REF!,A295-1))+LEN(INDEX(#REF!,A295-1))=0),$B$127,""),"")</f>
        <v/>
      </c>
      <c r="E295" s="113" t="str">
        <f>IF(AND(NOT(ISBLANK(INDEX(#REF!,A295))),OR(ISBLANK(INDEX(#REF!,A295)),ISBLANK(INDEX(#REF!,A295)))),VLOOKUP(INDEX(#REF!,A295),salaries_academic[],2,FALSE),"")</f>
        <v/>
      </c>
      <c r="F295" s="113" t="str">
        <f>IFERROR(IF(COUNTIF(INDEX(#REF!,A295),"*- PhD*")&gt;0,IF(INDEX(#REF!,A295)*INDEX(#REF!,A295)&lt;pers_PhD_min_months,$B$129,""),""),"")</f>
        <v/>
      </c>
      <c r="G295" s="113" t="str">
        <f>IFERROR(IF(COUNTIF(INDEX(#REF!,$A295),"*- PhD*")&gt;0,IF(INDEX(#REF!,$A295)*INDEX(#REF!,$A295)&gt;pers_PhD_max_months,$B$130,""),""),"")</f>
        <v/>
      </c>
      <c r="H295" s="113" t="str">
        <f>IFERROR(IF(COUNTIF(INDEX(#REF!,A295),"*year*")&gt;0,IF(INDEX(#REF!,A295)*INDEX(#REF!,A295)&lt;pers_3yPhD_min_months,$B$131,""),""),"")</f>
        <v/>
      </c>
      <c r="I295" s="113" t="str">
        <f>IFERROR(IF(COUNTIF(INDEX(#REF!,A295),"*PDEng*")&gt;0,IF(OR(IFERROR(MATCH("*PhD*",#REF!,0),0)&gt;0,IFERROR(MATCH("*PostDoc*",#REF!,0),0)&gt;0),"",$B$132),""),"")</f>
        <v/>
      </c>
      <c r="J295" s="113" t="str">
        <f>IFERROR(IF(COUNTIF(INDEX(#REF!,A295),"*PDEng*")&gt;0,IF(INDEX(#REF!,A295)*INDEX(#REF!,A295)&gt;pers_PDEng_max_months,$B$133,""),""),"")</f>
        <v/>
      </c>
      <c r="K295" s="113" t="str">
        <f>IFERROR(IF(COUNTIF(INDEX(#REF!,A295),"*PostDoc*")&gt;0,IF(INDEX(#REF!,A295)*INDEX(#REF!,A295)&lt;pers_PD_min_months,$B$134,""),""),"")</f>
        <v/>
      </c>
      <c r="L295" s="113" t="str">
        <f>IFERROR(IF(COUNTIF(INDEX(#REF!,A295),"*PostDoc*")&gt;0,IF(INDEX(#REF!,A295)*INDEX(#REF!,A295)&gt;pers_PD_max_months,$B$135,""),""),"")</f>
        <v/>
      </c>
      <c r="M295" s="113" t="str">
        <f>IFERROR(IF(COUNTIF(INDEX(#REF!,A295),"*Non-scientific*")&gt;0,IF(OR(IFERROR(MATCH("*PhD*",#REF!,0),0)&gt;0,IFERROR(MATCH("*PostDoc*",#REF!,0),0)&gt;0),"",$B$136),""),"")</f>
        <v/>
      </c>
      <c r="N295" s="113" t="str">
        <f>IFERROR(IF(COUNTIF(INDEX(#REF!,A295),"*Non-scientific*")&gt;0,IF(Total_NSP&gt;pers_max_NSP,$B$137,""),""),"")</f>
        <v/>
      </c>
      <c r="O295" s="113" t="str">
        <f>IFERROR(IF(COUNTIF(INDEX(#REF!,A295),"*Non-scientific*")&gt;0,IF(INDEX(#REF!,A295)*INDEX(#REF!,A295)&lt;pers_NSP_min_months,$B$138,""),""),"")</f>
        <v/>
      </c>
      <c r="P295" s="113" t="str">
        <f>IFERROR(IF(COUNTIF(INDEX(#REF!,A295),"*Non-scientific*")&gt;0,IF(INDEX(#REF!,A295)*INDEX(#REF!,A295)&gt;pers_NSP_max_months,$B$139,""),""),"")</f>
        <v/>
      </c>
      <c r="Q295" s="113" t="str">
        <f>IFERROR(IF(COUNTIF(INDEX(#REF!,A295),"*Other scientific*")&gt;0,IF(OR(IFERROR(MATCH("*PhD*",#REF!,0),0)&gt;0,IFERROR(MATCH("*PostDoc*",#REF!,0),0)&gt;0),"",$B$140),""),"")</f>
        <v/>
      </c>
      <c r="R295" s="113" t="str">
        <f>IFERROR(IF(COUNTIF(INDEX(#REF!,A295),"*Other scientific*")&gt;0,IF(Total_OSP&gt;pers_max_OSP,$B$141,""),""),"")</f>
        <v/>
      </c>
      <c r="S295" s="113" t="str">
        <f>IFERROR(IF(COUNTIF(INDEX(#REF!,A295),"*Other scientific*")&gt;0,IF(INDEX(#REF!,A295)*INDEX(#REF!,A295)&lt;pers_OSP_min_months,$B$142,""),""),"")</f>
        <v/>
      </c>
      <c r="T295" s="113" t="str">
        <f>IFERROR(IF(COUNTIF(INDEX(#REF!,A295),"*Other scientific*")&gt;0,IF(INDEX(#REF!,A295)*INDEX(#REF!,A295)&gt;pers_OSP_max_months,$B$143,""),""),"")</f>
        <v/>
      </c>
      <c r="U295" s="113" t="str">
        <f>IFERROR(IF(COUNTIF(INDEX(#REF!,A295),"*leave*")&gt;0,IF(Total_Research_leave&gt;pers_leave_maxperc*Total_NWO_funding,$B$144,""),""),"")</f>
        <v/>
      </c>
      <c r="V295" s="113" t="str">
        <f>IFERROR(IF(COUNTIF(INDEX(#REF!,A295),"*leave*")&gt;0,IF(Research_leave_FTE_months&gt;pers_leave_maxduration,$B$145,""),""),"")</f>
        <v/>
      </c>
      <c r="W295" s="113" t="str">
        <f>IFERROR(IF(AND(INDEX(#REF!,A295)=0,INDEX(salaries_academic[[category]:[1]],MATCH(INDEX(#REF!,A295),salaries_academic[category],0),3)=0),$B$148,""),"")</f>
        <v/>
      </c>
      <c r="X295" s="113" t="e">
        <f>IF(AND(organisation_type="yes",INDEX(#REF!,A295,1)&lt;&gt;"",ISBLANK(INDEX(#REF!,A295,1))),$B$146,"")</f>
        <v>#REF!</v>
      </c>
      <c r="Y295" s="113" t="e">
        <f>IF(AND(organisation_name="yes",INDEX(#REF!,A295,1)&lt;&gt;"",ISBLANK(INDEX(#REF!,A295,1))),$B$147,"")</f>
        <v>#REF!</v>
      </c>
      <c r="Z295" s="113" t="str">
        <f>IFERROR(IF(AND(INDEX(#REF!,A295)&gt;0,INDEX(salaries_academic[[category]:[1]],MATCH(INDEX(#REF!,A295),salaries_academic[category],0),3)&gt;0),$B$149,""),"")</f>
        <v/>
      </c>
    </row>
    <row r="296" spans="1:26" outlineLevel="1" x14ac:dyDescent="0.35">
      <c r="A296" s="113">
        <v>89</v>
      </c>
      <c r="B296" s="113" t="str">
        <f t="array" ref="B296">IFERROR(INDEX(personnel_ac_notes[[#This Row],[Exceeding nr months]:[Costs specified]],1,MATCH(TRUE,LEN(personnel_ac_notes[[#This Row],[Exceeding nr months]:[Costs specified]])&gt;0,0)),"")</f>
        <v/>
      </c>
      <c r="C296" s="113" t="str">
        <f>IFERROR(IF(INDEX(#REF!,A296)&gt;Max_project_duration,$B$128,""),"")</f>
        <v/>
      </c>
      <c r="D296" s="113" t="str">
        <f>IFERROR(IF(AND(LEN(INDEX(#REF!,A296))+LEN(INDEX(#REF!,A296))+LEN(INDEX(#REF!,A296))&gt;0,LEN(INDEX(#REF!,A296-1))+LEN(INDEX(#REF!,A296-1))+LEN(INDEX(#REF!,A296-1))=0),$B$127,""),"")</f>
        <v/>
      </c>
      <c r="E296" s="113" t="str">
        <f>IF(AND(NOT(ISBLANK(INDEX(#REF!,A296))),OR(ISBLANK(INDEX(#REF!,A296)),ISBLANK(INDEX(#REF!,A296)))),VLOOKUP(INDEX(#REF!,A296),salaries_academic[],2,FALSE),"")</f>
        <v/>
      </c>
      <c r="F296" s="113" t="str">
        <f>IFERROR(IF(COUNTIF(INDEX(#REF!,A296),"*- PhD*")&gt;0,IF(INDEX(#REF!,A296)*INDEX(#REF!,A296)&lt;pers_PhD_min_months,$B$129,""),""),"")</f>
        <v/>
      </c>
      <c r="G296" s="113" t="str">
        <f>IFERROR(IF(COUNTIF(INDEX(#REF!,$A296),"*- PhD*")&gt;0,IF(INDEX(#REF!,$A296)*INDEX(#REF!,$A296)&gt;pers_PhD_max_months,$B$130,""),""),"")</f>
        <v/>
      </c>
      <c r="H296" s="113" t="str">
        <f>IFERROR(IF(COUNTIF(INDEX(#REF!,A296),"*year*")&gt;0,IF(INDEX(#REF!,A296)*INDEX(#REF!,A296)&lt;pers_3yPhD_min_months,$B$131,""),""),"")</f>
        <v/>
      </c>
      <c r="I296" s="113" t="str">
        <f>IFERROR(IF(COUNTIF(INDEX(#REF!,A296),"*PDEng*")&gt;0,IF(OR(IFERROR(MATCH("*PhD*",#REF!,0),0)&gt;0,IFERROR(MATCH("*PostDoc*",#REF!,0),0)&gt;0),"",$B$132),""),"")</f>
        <v/>
      </c>
      <c r="J296" s="113" t="str">
        <f>IFERROR(IF(COUNTIF(INDEX(#REF!,A296),"*PDEng*")&gt;0,IF(INDEX(#REF!,A296)*INDEX(#REF!,A296)&gt;pers_PDEng_max_months,$B$133,""),""),"")</f>
        <v/>
      </c>
      <c r="K296" s="113" t="str">
        <f>IFERROR(IF(COUNTIF(INDEX(#REF!,A296),"*PostDoc*")&gt;0,IF(INDEX(#REF!,A296)*INDEX(#REF!,A296)&lt;pers_PD_min_months,$B$134,""),""),"")</f>
        <v/>
      </c>
      <c r="L296" s="113" t="str">
        <f>IFERROR(IF(COUNTIF(INDEX(#REF!,A296),"*PostDoc*")&gt;0,IF(INDEX(#REF!,A296)*INDEX(#REF!,A296)&gt;pers_PD_max_months,$B$135,""),""),"")</f>
        <v/>
      </c>
      <c r="M296" s="113" t="str">
        <f>IFERROR(IF(COUNTIF(INDEX(#REF!,A296),"*Non-scientific*")&gt;0,IF(OR(IFERROR(MATCH("*PhD*",#REF!,0),0)&gt;0,IFERROR(MATCH("*PostDoc*",#REF!,0),0)&gt;0),"",$B$136),""),"")</f>
        <v/>
      </c>
      <c r="N296" s="113" t="str">
        <f>IFERROR(IF(COUNTIF(INDEX(#REF!,A296),"*Non-scientific*")&gt;0,IF(Total_NSP&gt;pers_max_NSP,$B$137,""),""),"")</f>
        <v/>
      </c>
      <c r="O296" s="113" t="str">
        <f>IFERROR(IF(COUNTIF(INDEX(#REF!,A296),"*Non-scientific*")&gt;0,IF(INDEX(#REF!,A296)*INDEX(#REF!,A296)&lt;pers_NSP_min_months,$B$138,""),""),"")</f>
        <v/>
      </c>
      <c r="P296" s="113" t="str">
        <f>IFERROR(IF(COUNTIF(INDEX(#REF!,A296),"*Non-scientific*")&gt;0,IF(INDEX(#REF!,A296)*INDEX(#REF!,A296)&gt;pers_NSP_max_months,$B$139,""),""),"")</f>
        <v/>
      </c>
      <c r="Q296" s="113" t="str">
        <f>IFERROR(IF(COUNTIF(INDEX(#REF!,A296),"*Other scientific*")&gt;0,IF(OR(IFERROR(MATCH("*PhD*",#REF!,0),0)&gt;0,IFERROR(MATCH("*PostDoc*",#REF!,0),0)&gt;0),"",$B$140),""),"")</f>
        <v/>
      </c>
      <c r="R296" s="113" t="str">
        <f>IFERROR(IF(COUNTIF(INDEX(#REF!,A296),"*Other scientific*")&gt;0,IF(Total_OSP&gt;pers_max_OSP,$B$141,""),""),"")</f>
        <v/>
      </c>
      <c r="S296" s="113" t="str">
        <f>IFERROR(IF(COUNTIF(INDEX(#REF!,A296),"*Other scientific*")&gt;0,IF(INDEX(#REF!,A296)*INDEX(#REF!,A296)&lt;pers_OSP_min_months,$B$142,""),""),"")</f>
        <v/>
      </c>
      <c r="T296" s="113" t="str">
        <f>IFERROR(IF(COUNTIF(INDEX(#REF!,A296),"*Other scientific*")&gt;0,IF(INDEX(#REF!,A296)*INDEX(#REF!,A296)&gt;pers_OSP_max_months,$B$143,""),""),"")</f>
        <v/>
      </c>
      <c r="U296" s="113" t="str">
        <f>IFERROR(IF(COUNTIF(INDEX(#REF!,A296),"*leave*")&gt;0,IF(Total_Research_leave&gt;pers_leave_maxperc*Total_NWO_funding,$B$144,""),""),"")</f>
        <v/>
      </c>
      <c r="V296" s="113" t="str">
        <f>IFERROR(IF(COUNTIF(INDEX(#REF!,A296),"*leave*")&gt;0,IF(Research_leave_FTE_months&gt;pers_leave_maxduration,$B$145,""),""),"")</f>
        <v/>
      </c>
      <c r="W296" s="113" t="str">
        <f>IFERROR(IF(AND(INDEX(#REF!,A296)=0,INDEX(salaries_academic[[category]:[1]],MATCH(INDEX(#REF!,A296),salaries_academic[category],0),3)=0),$B$148,""),"")</f>
        <v/>
      </c>
      <c r="X296" s="113" t="e">
        <f>IF(AND(organisation_type="yes",INDEX(#REF!,A296,1)&lt;&gt;"",ISBLANK(INDEX(#REF!,A296,1))),$B$146,"")</f>
        <v>#REF!</v>
      </c>
      <c r="Y296" s="113" t="e">
        <f>IF(AND(organisation_name="yes",INDEX(#REF!,A296,1)&lt;&gt;"",ISBLANK(INDEX(#REF!,A296,1))),$B$147,"")</f>
        <v>#REF!</v>
      </c>
      <c r="Z296" s="113" t="str">
        <f>IFERROR(IF(AND(INDEX(#REF!,A296)&gt;0,INDEX(salaries_academic[[category]:[1]],MATCH(INDEX(#REF!,A296),salaries_academic[category],0),3)&gt;0),$B$149,""),"")</f>
        <v/>
      </c>
    </row>
    <row r="297" spans="1:26" outlineLevel="1" x14ac:dyDescent="0.35">
      <c r="A297" s="113">
        <v>90</v>
      </c>
      <c r="B297" s="113" t="str">
        <f t="array" ref="B297">IFERROR(INDEX(personnel_ac_notes[[#This Row],[Exceeding nr months]:[Costs specified]],1,MATCH(TRUE,LEN(personnel_ac_notes[[#This Row],[Exceeding nr months]:[Costs specified]])&gt;0,0)),"")</f>
        <v/>
      </c>
      <c r="C297" s="113" t="str">
        <f>IFERROR(IF(INDEX(#REF!,A297)&gt;Max_project_duration,$B$128,""),"")</f>
        <v/>
      </c>
      <c r="D297" s="113" t="str">
        <f>IFERROR(IF(AND(LEN(INDEX(#REF!,A297))+LEN(INDEX(#REF!,A297))+LEN(INDEX(#REF!,A297))&gt;0,LEN(INDEX(#REF!,A297-1))+LEN(INDEX(#REF!,A297-1))+LEN(INDEX(#REF!,A297-1))=0),$B$127,""),"")</f>
        <v/>
      </c>
      <c r="E297" s="113" t="str">
        <f>IF(AND(NOT(ISBLANK(INDEX(#REF!,A297))),OR(ISBLANK(INDEX(#REF!,A297)),ISBLANK(INDEX(#REF!,A297)))),VLOOKUP(INDEX(#REF!,A297),salaries_academic[],2,FALSE),"")</f>
        <v/>
      </c>
      <c r="F297" s="113" t="str">
        <f>IFERROR(IF(COUNTIF(INDEX(#REF!,A297),"*- PhD*")&gt;0,IF(INDEX(#REF!,A297)*INDEX(#REF!,A297)&lt;pers_PhD_min_months,$B$129,""),""),"")</f>
        <v/>
      </c>
      <c r="G297" s="113" t="str">
        <f>IFERROR(IF(COUNTIF(INDEX(#REF!,$A297),"*- PhD*")&gt;0,IF(INDEX(#REF!,$A297)*INDEX(#REF!,$A297)&gt;pers_PhD_max_months,$B$130,""),""),"")</f>
        <v/>
      </c>
      <c r="H297" s="113" t="str">
        <f>IFERROR(IF(COUNTIF(INDEX(#REF!,A297),"*year*")&gt;0,IF(INDEX(#REF!,A297)*INDEX(#REF!,A297)&lt;pers_3yPhD_min_months,$B$131,""),""),"")</f>
        <v/>
      </c>
      <c r="I297" s="113" t="str">
        <f>IFERROR(IF(COUNTIF(INDEX(#REF!,A297),"*PDEng*")&gt;0,IF(OR(IFERROR(MATCH("*PhD*",#REF!,0),0)&gt;0,IFERROR(MATCH("*PostDoc*",#REF!,0),0)&gt;0),"",$B$132),""),"")</f>
        <v/>
      </c>
      <c r="J297" s="113" t="str">
        <f>IFERROR(IF(COUNTIF(INDEX(#REF!,A297),"*PDEng*")&gt;0,IF(INDEX(#REF!,A297)*INDEX(#REF!,A297)&gt;pers_PDEng_max_months,$B$133,""),""),"")</f>
        <v/>
      </c>
      <c r="K297" s="113" t="str">
        <f>IFERROR(IF(COUNTIF(INDEX(#REF!,A297),"*PostDoc*")&gt;0,IF(INDEX(#REF!,A297)*INDEX(#REF!,A297)&lt;pers_PD_min_months,$B$134,""),""),"")</f>
        <v/>
      </c>
      <c r="L297" s="113" t="str">
        <f>IFERROR(IF(COUNTIF(INDEX(#REF!,A297),"*PostDoc*")&gt;0,IF(INDEX(#REF!,A297)*INDEX(#REF!,A297)&gt;pers_PD_max_months,$B$135,""),""),"")</f>
        <v/>
      </c>
      <c r="M297" s="113" t="str">
        <f>IFERROR(IF(COUNTIF(INDEX(#REF!,A297),"*Non-scientific*")&gt;0,IF(OR(IFERROR(MATCH("*PhD*",#REF!,0),0)&gt;0,IFERROR(MATCH("*PostDoc*",#REF!,0),0)&gt;0),"",$B$136),""),"")</f>
        <v/>
      </c>
      <c r="N297" s="113" t="str">
        <f>IFERROR(IF(COUNTIF(INDEX(#REF!,A297),"*Non-scientific*")&gt;0,IF(Total_NSP&gt;pers_max_NSP,$B$137,""),""),"")</f>
        <v/>
      </c>
      <c r="O297" s="113" t="str">
        <f>IFERROR(IF(COUNTIF(INDEX(#REF!,A297),"*Non-scientific*")&gt;0,IF(INDEX(#REF!,A297)*INDEX(#REF!,A297)&lt;pers_NSP_min_months,$B$138,""),""),"")</f>
        <v/>
      </c>
      <c r="P297" s="113" t="str">
        <f>IFERROR(IF(COUNTIF(INDEX(#REF!,A297),"*Non-scientific*")&gt;0,IF(INDEX(#REF!,A297)*INDEX(#REF!,A297)&gt;pers_NSP_max_months,$B$139,""),""),"")</f>
        <v/>
      </c>
      <c r="Q297" s="113" t="str">
        <f>IFERROR(IF(COUNTIF(INDEX(#REF!,A297),"*Other scientific*")&gt;0,IF(OR(IFERROR(MATCH("*PhD*",#REF!,0),0)&gt;0,IFERROR(MATCH("*PostDoc*",#REF!,0),0)&gt;0),"",$B$140),""),"")</f>
        <v/>
      </c>
      <c r="R297" s="113" t="str">
        <f>IFERROR(IF(COUNTIF(INDEX(#REF!,A297),"*Other scientific*")&gt;0,IF(Total_OSP&gt;pers_max_OSP,$B$141,""),""),"")</f>
        <v/>
      </c>
      <c r="S297" s="113" t="str">
        <f>IFERROR(IF(COUNTIF(INDEX(#REF!,A297),"*Other scientific*")&gt;0,IF(INDEX(#REF!,A297)*INDEX(#REF!,A297)&lt;pers_OSP_min_months,$B$142,""),""),"")</f>
        <v/>
      </c>
      <c r="T297" s="113" t="str">
        <f>IFERROR(IF(COUNTIF(INDEX(#REF!,A297),"*Other scientific*")&gt;0,IF(INDEX(#REF!,A297)*INDEX(#REF!,A297)&gt;pers_OSP_max_months,$B$143,""),""),"")</f>
        <v/>
      </c>
      <c r="U297" s="113" t="str">
        <f>IFERROR(IF(COUNTIF(INDEX(#REF!,A297),"*leave*")&gt;0,IF(Total_Research_leave&gt;pers_leave_maxperc*Total_NWO_funding,$B$144,""),""),"")</f>
        <v/>
      </c>
      <c r="V297" s="113" t="str">
        <f>IFERROR(IF(COUNTIF(INDEX(#REF!,A297),"*leave*")&gt;0,IF(Research_leave_FTE_months&gt;pers_leave_maxduration,$B$145,""),""),"")</f>
        <v/>
      </c>
      <c r="W297" s="113" t="str">
        <f>IFERROR(IF(AND(INDEX(#REF!,A297)=0,INDEX(salaries_academic[[category]:[1]],MATCH(INDEX(#REF!,A297),salaries_academic[category],0),3)=0),$B$148,""),"")</f>
        <v/>
      </c>
      <c r="X297" s="113" t="e">
        <f>IF(AND(organisation_type="yes",INDEX(#REF!,A297,1)&lt;&gt;"",ISBLANK(INDEX(#REF!,A297,1))),$B$146,"")</f>
        <v>#REF!</v>
      </c>
      <c r="Y297" s="113" t="e">
        <f>IF(AND(organisation_name="yes",INDEX(#REF!,A297,1)&lt;&gt;"",ISBLANK(INDEX(#REF!,A297,1))),$B$147,"")</f>
        <v>#REF!</v>
      </c>
      <c r="Z297" s="113" t="str">
        <f>IFERROR(IF(AND(INDEX(#REF!,A297)&gt;0,INDEX(salaries_academic[[category]:[1]],MATCH(INDEX(#REF!,A297),salaries_academic[category],0),3)&gt;0),$B$149,""),"")</f>
        <v/>
      </c>
    </row>
    <row r="298" spans="1:26" outlineLevel="1" x14ac:dyDescent="0.35">
      <c r="A298" s="113">
        <v>91</v>
      </c>
      <c r="B298" s="113" t="str">
        <f t="array" ref="B298">IFERROR(INDEX(personnel_ac_notes[[#This Row],[Exceeding nr months]:[Costs specified]],1,MATCH(TRUE,LEN(personnel_ac_notes[[#This Row],[Exceeding nr months]:[Costs specified]])&gt;0,0)),"")</f>
        <v/>
      </c>
      <c r="C298" s="113" t="str">
        <f>IFERROR(IF(INDEX(#REF!,A298)&gt;Max_project_duration,$B$128,""),"")</f>
        <v/>
      </c>
      <c r="D298" s="113" t="str">
        <f>IFERROR(IF(AND(LEN(INDEX(#REF!,A298))+LEN(INDEX(#REF!,A298))+LEN(INDEX(#REF!,A298))&gt;0,LEN(INDEX(#REF!,A298-1))+LEN(INDEX(#REF!,A298-1))+LEN(INDEX(#REF!,A298-1))=0),$B$127,""),"")</f>
        <v/>
      </c>
      <c r="E298" s="113" t="str">
        <f>IF(AND(NOT(ISBLANK(INDEX(#REF!,A298))),OR(ISBLANK(INDEX(#REF!,A298)),ISBLANK(INDEX(#REF!,A298)))),VLOOKUP(INDEX(#REF!,A298),salaries_academic[],2,FALSE),"")</f>
        <v/>
      </c>
      <c r="F298" s="113" t="str">
        <f>IFERROR(IF(COUNTIF(INDEX(#REF!,A298),"*- PhD*")&gt;0,IF(INDEX(#REF!,A298)*INDEX(#REF!,A298)&lt;pers_PhD_min_months,$B$129,""),""),"")</f>
        <v/>
      </c>
      <c r="G298" s="113" t="str">
        <f>IFERROR(IF(COUNTIF(INDEX(#REF!,$A298),"*- PhD*")&gt;0,IF(INDEX(#REF!,$A298)*INDEX(#REF!,$A298)&gt;pers_PhD_max_months,$B$130,""),""),"")</f>
        <v/>
      </c>
      <c r="H298" s="113" t="str">
        <f>IFERROR(IF(COUNTIF(INDEX(#REF!,A298),"*year*")&gt;0,IF(INDEX(#REF!,A298)*INDEX(#REF!,A298)&lt;pers_3yPhD_min_months,$B$131,""),""),"")</f>
        <v/>
      </c>
      <c r="I298" s="113" t="str">
        <f>IFERROR(IF(COUNTIF(INDEX(#REF!,A298),"*PDEng*")&gt;0,IF(OR(IFERROR(MATCH("*PhD*",#REF!,0),0)&gt;0,IFERROR(MATCH("*PostDoc*",#REF!,0),0)&gt;0),"",$B$132),""),"")</f>
        <v/>
      </c>
      <c r="J298" s="113" t="str">
        <f>IFERROR(IF(COUNTIF(INDEX(#REF!,A298),"*PDEng*")&gt;0,IF(INDEX(#REF!,A298)*INDEX(#REF!,A298)&gt;pers_PDEng_max_months,$B$133,""),""),"")</f>
        <v/>
      </c>
      <c r="K298" s="113" t="str">
        <f>IFERROR(IF(COUNTIF(INDEX(#REF!,A298),"*PostDoc*")&gt;0,IF(INDEX(#REF!,A298)*INDEX(#REF!,A298)&lt;pers_PD_min_months,$B$134,""),""),"")</f>
        <v/>
      </c>
      <c r="L298" s="113" t="str">
        <f>IFERROR(IF(COUNTIF(INDEX(#REF!,A298),"*PostDoc*")&gt;0,IF(INDEX(#REF!,A298)*INDEX(#REF!,A298)&gt;pers_PD_max_months,$B$135,""),""),"")</f>
        <v/>
      </c>
      <c r="M298" s="113" t="str">
        <f>IFERROR(IF(COUNTIF(INDEX(#REF!,A298),"*Non-scientific*")&gt;0,IF(OR(IFERROR(MATCH("*PhD*",#REF!,0),0)&gt;0,IFERROR(MATCH("*PostDoc*",#REF!,0),0)&gt;0),"",$B$136),""),"")</f>
        <v/>
      </c>
      <c r="N298" s="113" t="str">
        <f>IFERROR(IF(COUNTIF(INDEX(#REF!,A298),"*Non-scientific*")&gt;0,IF(Total_NSP&gt;pers_max_NSP,$B$137,""),""),"")</f>
        <v/>
      </c>
      <c r="O298" s="113" t="str">
        <f>IFERROR(IF(COUNTIF(INDEX(#REF!,A298),"*Non-scientific*")&gt;0,IF(INDEX(#REF!,A298)*INDEX(#REF!,A298)&lt;pers_NSP_min_months,$B$138,""),""),"")</f>
        <v/>
      </c>
      <c r="P298" s="113" t="str">
        <f>IFERROR(IF(COUNTIF(INDEX(#REF!,A298),"*Non-scientific*")&gt;0,IF(INDEX(#REF!,A298)*INDEX(#REF!,A298)&gt;pers_NSP_max_months,$B$139,""),""),"")</f>
        <v/>
      </c>
      <c r="Q298" s="113" t="str">
        <f>IFERROR(IF(COUNTIF(INDEX(#REF!,A298),"*Other scientific*")&gt;0,IF(OR(IFERROR(MATCH("*PhD*",#REF!,0),0)&gt;0,IFERROR(MATCH("*PostDoc*",#REF!,0),0)&gt;0),"",$B$140),""),"")</f>
        <v/>
      </c>
      <c r="R298" s="113" t="str">
        <f>IFERROR(IF(COUNTIF(INDEX(#REF!,A298),"*Other scientific*")&gt;0,IF(Total_OSP&gt;pers_max_OSP,$B$141,""),""),"")</f>
        <v/>
      </c>
      <c r="S298" s="113" t="str">
        <f>IFERROR(IF(COUNTIF(INDEX(#REF!,A298),"*Other scientific*")&gt;0,IF(INDEX(#REF!,A298)*INDEX(#REF!,A298)&lt;pers_OSP_min_months,$B$142,""),""),"")</f>
        <v/>
      </c>
      <c r="T298" s="113" t="str">
        <f>IFERROR(IF(COUNTIF(INDEX(#REF!,A298),"*Other scientific*")&gt;0,IF(INDEX(#REF!,A298)*INDEX(#REF!,A298)&gt;pers_OSP_max_months,$B$143,""),""),"")</f>
        <v/>
      </c>
      <c r="U298" s="113" t="str">
        <f>IFERROR(IF(COUNTIF(INDEX(#REF!,A298),"*leave*")&gt;0,IF(Total_Research_leave&gt;pers_leave_maxperc*Total_NWO_funding,$B$144,""),""),"")</f>
        <v/>
      </c>
      <c r="V298" s="113" t="str">
        <f>IFERROR(IF(COUNTIF(INDEX(#REF!,A298),"*leave*")&gt;0,IF(Research_leave_FTE_months&gt;pers_leave_maxduration,$B$145,""),""),"")</f>
        <v/>
      </c>
      <c r="W298" s="113" t="str">
        <f>IFERROR(IF(AND(INDEX(#REF!,A298)=0,INDEX(salaries_academic[[category]:[1]],MATCH(INDEX(#REF!,A298),salaries_academic[category],0),3)=0),$B$148,""),"")</f>
        <v/>
      </c>
      <c r="X298" s="113" t="e">
        <f>IF(AND(organisation_type="yes",INDEX(#REF!,A298,1)&lt;&gt;"",ISBLANK(INDEX(#REF!,A298,1))),$B$146,"")</f>
        <v>#REF!</v>
      </c>
      <c r="Y298" s="113" t="e">
        <f>IF(AND(organisation_name="yes",INDEX(#REF!,A298,1)&lt;&gt;"",ISBLANK(INDEX(#REF!,A298,1))),$B$147,"")</f>
        <v>#REF!</v>
      </c>
      <c r="Z298" s="113" t="str">
        <f>IFERROR(IF(AND(INDEX(#REF!,A298)&gt;0,INDEX(salaries_academic[[category]:[1]],MATCH(INDEX(#REF!,A298),salaries_academic[category],0),3)&gt;0),$B$149,""),"")</f>
        <v/>
      </c>
    </row>
    <row r="299" spans="1:26" outlineLevel="1" x14ac:dyDescent="0.35">
      <c r="A299" s="113">
        <v>92</v>
      </c>
      <c r="B299" s="113" t="str">
        <f t="array" ref="B299">IFERROR(INDEX(personnel_ac_notes[[#This Row],[Exceeding nr months]:[Costs specified]],1,MATCH(TRUE,LEN(personnel_ac_notes[[#This Row],[Exceeding nr months]:[Costs specified]])&gt;0,0)),"")</f>
        <v/>
      </c>
      <c r="C299" s="113" t="str">
        <f>IFERROR(IF(INDEX(#REF!,A299)&gt;Max_project_duration,$B$128,""),"")</f>
        <v/>
      </c>
      <c r="D299" s="113" t="str">
        <f>IFERROR(IF(AND(LEN(INDEX(#REF!,A299))+LEN(INDEX(#REF!,A299))+LEN(INDEX(#REF!,A299))&gt;0,LEN(INDEX(#REF!,A299-1))+LEN(INDEX(#REF!,A299-1))+LEN(INDEX(#REF!,A299-1))=0),$B$127,""),"")</f>
        <v/>
      </c>
      <c r="E299" s="113" t="str">
        <f>IF(AND(NOT(ISBLANK(INDEX(#REF!,A299))),OR(ISBLANK(INDEX(#REF!,A299)),ISBLANK(INDEX(#REF!,A299)))),VLOOKUP(INDEX(#REF!,A299),salaries_academic[],2,FALSE),"")</f>
        <v/>
      </c>
      <c r="F299" s="113" t="str">
        <f>IFERROR(IF(COUNTIF(INDEX(#REF!,A299),"*- PhD*")&gt;0,IF(INDEX(#REF!,A299)*INDEX(#REF!,A299)&lt;pers_PhD_min_months,$B$129,""),""),"")</f>
        <v/>
      </c>
      <c r="G299" s="113" t="str">
        <f>IFERROR(IF(COUNTIF(INDEX(#REF!,$A299),"*- PhD*")&gt;0,IF(INDEX(#REF!,$A299)*INDEX(#REF!,$A299)&gt;pers_PhD_max_months,$B$130,""),""),"")</f>
        <v/>
      </c>
      <c r="H299" s="113" t="str">
        <f>IFERROR(IF(COUNTIF(INDEX(#REF!,A299),"*year*")&gt;0,IF(INDEX(#REF!,A299)*INDEX(#REF!,A299)&lt;pers_3yPhD_min_months,$B$131,""),""),"")</f>
        <v/>
      </c>
      <c r="I299" s="113" t="str">
        <f>IFERROR(IF(COUNTIF(INDEX(#REF!,A299),"*PDEng*")&gt;0,IF(OR(IFERROR(MATCH("*PhD*",#REF!,0),0)&gt;0,IFERROR(MATCH("*PostDoc*",#REF!,0),0)&gt;0),"",$B$132),""),"")</f>
        <v/>
      </c>
      <c r="J299" s="113" t="str">
        <f>IFERROR(IF(COUNTIF(INDEX(#REF!,A299),"*PDEng*")&gt;0,IF(INDEX(#REF!,A299)*INDEX(#REF!,A299)&gt;pers_PDEng_max_months,$B$133,""),""),"")</f>
        <v/>
      </c>
      <c r="K299" s="113" t="str">
        <f>IFERROR(IF(COUNTIF(INDEX(#REF!,A299),"*PostDoc*")&gt;0,IF(INDEX(#REF!,A299)*INDEX(#REF!,A299)&lt;pers_PD_min_months,$B$134,""),""),"")</f>
        <v/>
      </c>
      <c r="L299" s="113" t="str">
        <f>IFERROR(IF(COUNTIF(INDEX(#REF!,A299),"*PostDoc*")&gt;0,IF(INDEX(#REF!,A299)*INDEX(#REF!,A299)&gt;pers_PD_max_months,$B$135,""),""),"")</f>
        <v/>
      </c>
      <c r="M299" s="113" t="str">
        <f>IFERROR(IF(COUNTIF(INDEX(#REF!,A299),"*Non-scientific*")&gt;0,IF(OR(IFERROR(MATCH("*PhD*",#REF!,0),0)&gt;0,IFERROR(MATCH("*PostDoc*",#REF!,0),0)&gt;0),"",$B$136),""),"")</f>
        <v/>
      </c>
      <c r="N299" s="113" t="str">
        <f>IFERROR(IF(COUNTIF(INDEX(#REF!,A299),"*Non-scientific*")&gt;0,IF(Total_NSP&gt;pers_max_NSP,$B$137,""),""),"")</f>
        <v/>
      </c>
      <c r="O299" s="113" t="str">
        <f>IFERROR(IF(COUNTIF(INDEX(#REF!,A299),"*Non-scientific*")&gt;0,IF(INDEX(#REF!,A299)*INDEX(#REF!,A299)&lt;pers_NSP_min_months,$B$138,""),""),"")</f>
        <v/>
      </c>
      <c r="P299" s="113" t="str">
        <f>IFERROR(IF(COUNTIF(INDEX(#REF!,A299),"*Non-scientific*")&gt;0,IF(INDEX(#REF!,A299)*INDEX(#REF!,A299)&gt;pers_NSP_max_months,$B$139,""),""),"")</f>
        <v/>
      </c>
      <c r="Q299" s="113" t="str">
        <f>IFERROR(IF(COUNTIF(INDEX(#REF!,A299),"*Other scientific*")&gt;0,IF(OR(IFERROR(MATCH("*PhD*",#REF!,0),0)&gt;0,IFERROR(MATCH("*PostDoc*",#REF!,0),0)&gt;0),"",$B$140),""),"")</f>
        <v/>
      </c>
      <c r="R299" s="113" t="str">
        <f>IFERROR(IF(COUNTIF(INDEX(#REF!,A299),"*Other scientific*")&gt;0,IF(Total_OSP&gt;pers_max_OSP,$B$141,""),""),"")</f>
        <v/>
      </c>
      <c r="S299" s="113" t="str">
        <f>IFERROR(IF(COUNTIF(INDEX(#REF!,A299),"*Other scientific*")&gt;0,IF(INDEX(#REF!,A299)*INDEX(#REF!,A299)&lt;pers_OSP_min_months,$B$142,""),""),"")</f>
        <v/>
      </c>
      <c r="T299" s="113" t="str">
        <f>IFERROR(IF(COUNTIF(INDEX(#REF!,A299),"*Other scientific*")&gt;0,IF(INDEX(#REF!,A299)*INDEX(#REF!,A299)&gt;pers_OSP_max_months,$B$143,""),""),"")</f>
        <v/>
      </c>
      <c r="U299" s="113" t="str">
        <f>IFERROR(IF(COUNTIF(INDEX(#REF!,A299),"*leave*")&gt;0,IF(Total_Research_leave&gt;pers_leave_maxperc*Total_NWO_funding,$B$144,""),""),"")</f>
        <v/>
      </c>
      <c r="V299" s="113" t="str">
        <f>IFERROR(IF(COUNTIF(INDEX(#REF!,A299),"*leave*")&gt;0,IF(Research_leave_FTE_months&gt;pers_leave_maxduration,$B$145,""),""),"")</f>
        <v/>
      </c>
      <c r="W299" s="113" t="str">
        <f>IFERROR(IF(AND(INDEX(#REF!,A299)=0,INDEX(salaries_academic[[category]:[1]],MATCH(INDEX(#REF!,A299),salaries_academic[category],0),3)=0),$B$148,""),"")</f>
        <v/>
      </c>
      <c r="X299" s="113" t="e">
        <f>IF(AND(organisation_type="yes",INDEX(#REF!,A299,1)&lt;&gt;"",ISBLANK(INDEX(#REF!,A299,1))),$B$146,"")</f>
        <v>#REF!</v>
      </c>
      <c r="Y299" s="113" t="e">
        <f>IF(AND(organisation_name="yes",INDEX(#REF!,A299,1)&lt;&gt;"",ISBLANK(INDEX(#REF!,A299,1))),$B$147,"")</f>
        <v>#REF!</v>
      </c>
      <c r="Z299" s="113" t="str">
        <f>IFERROR(IF(AND(INDEX(#REF!,A299)&gt;0,INDEX(salaries_academic[[category]:[1]],MATCH(INDEX(#REF!,A299),salaries_academic[category],0),3)&gt;0),$B$149,""),"")</f>
        <v/>
      </c>
    </row>
    <row r="300" spans="1:26" outlineLevel="1" x14ac:dyDescent="0.35">
      <c r="A300" s="113">
        <v>93</v>
      </c>
      <c r="B300" s="113" t="str">
        <f t="array" ref="B300">IFERROR(INDEX(personnel_ac_notes[[#This Row],[Exceeding nr months]:[Costs specified]],1,MATCH(TRUE,LEN(personnel_ac_notes[[#This Row],[Exceeding nr months]:[Costs specified]])&gt;0,0)),"")</f>
        <v/>
      </c>
      <c r="C300" s="113" t="str">
        <f>IFERROR(IF(INDEX(#REF!,A300)&gt;Max_project_duration,$B$128,""),"")</f>
        <v/>
      </c>
      <c r="D300" s="113" t="str">
        <f>IFERROR(IF(AND(LEN(INDEX(#REF!,A300))+LEN(INDEX(#REF!,A300))+LEN(INDEX(#REF!,A300))&gt;0,LEN(INDEX(#REF!,A300-1))+LEN(INDEX(#REF!,A300-1))+LEN(INDEX(#REF!,A300-1))=0),$B$127,""),"")</f>
        <v/>
      </c>
      <c r="E300" s="113" t="str">
        <f>IF(AND(NOT(ISBLANK(INDEX(#REF!,A300))),OR(ISBLANK(INDEX(#REF!,A300)),ISBLANK(INDEX(#REF!,A300)))),VLOOKUP(INDEX(#REF!,A300),salaries_academic[],2,FALSE),"")</f>
        <v/>
      </c>
      <c r="F300" s="113" t="str">
        <f>IFERROR(IF(COUNTIF(INDEX(#REF!,A300),"*- PhD*")&gt;0,IF(INDEX(#REF!,A300)*INDEX(#REF!,A300)&lt;pers_PhD_min_months,$B$129,""),""),"")</f>
        <v/>
      </c>
      <c r="G300" s="113" t="str">
        <f>IFERROR(IF(COUNTIF(INDEX(#REF!,$A300),"*- PhD*")&gt;0,IF(INDEX(#REF!,$A300)*INDEX(#REF!,$A300)&gt;pers_PhD_max_months,$B$130,""),""),"")</f>
        <v/>
      </c>
      <c r="H300" s="113" t="str">
        <f>IFERROR(IF(COUNTIF(INDEX(#REF!,A300),"*year*")&gt;0,IF(INDEX(#REF!,A300)*INDEX(#REF!,A300)&lt;pers_3yPhD_min_months,$B$131,""),""),"")</f>
        <v/>
      </c>
      <c r="I300" s="113" t="str">
        <f>IFERROR(IF(COUNTIF(INDEX(#REF!,A300),"*PDEng*")&gt;0,IF(OR(IFERROR(MATCH("*PhD*",#REF!,0),0)&gt;0,IFERROR(MATCH("*PostDoc*",#REF!,0),0)&gt;0),"",$B$132),""),"")</f>
        <v/>
      </c>
      <c r="J300" s="113" t="str">
        <f>IFERROR(IF(COUNTIF(INDEX(#REF!,A300),"*PDEng*")&gt;0,IF(INDEX(#REF!,A300)*INDEX(#REF!,A300)&gt;pers_PDEng_max_months,$B$133,""),""),"")</f>
        <v/>
      </c>
      <c r="K300" s="113" t="str">
        <f>IFERROR(IF(COUNTIF(INDEX(#REF!,A300),"*PostDoc*")&gt;0,IF(INDEX(#REF!,A300)*INDEX(#REF!,A300)&lt;pers_PD_min_months,$B$134,""),""),"")</f>
        <v/>
      </c>
      <c r="L300" s="113" t="str">
        <f>IFERROR(IF(COUNTIF(INDEX(#REF!,A300),"*PostDoc*")&gt;0,IF(INDEX(#REF!,A300)*INDEX(#REF!,A300)&gt;pers_PD_max_months,$B$135,""),""),"")</f>
        <v/>
      </c>
      <c r="M300" s="113" t="str">
        <f>IFERROR(IF(COUNTIF(INDEX(#REF!,A300),"*Non-scientific*")&gt;0,IF(OR(IFERROR(MATCH("*PhD*",#REF!,0),0)&gt;0,IFERROR(MATCH("*PostDoc*",#REF!,0),0)&gt;0),"",$B$136),""),"")</f>
        <v/>
      </c>
      <c r="N300" s="113" t="str">
        <f>IFERROR(IF(COUNTIF(INDEX(#REF!,A300),"*Non-scientific*")&gt;0,IF(Total_NSP&gt;pers_max_NSP,$B$137,""),""),"")</f>
        <v/>
      </c>
      <c r="O300" s="113" t="str">
        <f>IFERROR(IF(COUNTIF(INDEX(#REF!,A300),"*Non-scientific*")&gt;0,IF(INDEX(#REF!,A300)*INDEX(#REF!,A300)&lt;pers_NSP_min_months,$B$138,""),""),"")</f>
        <v/>
      </c>
      <c r="P300" s="113" t="str">
        <f>IFERROR(IF(COUNTIF(INDEX(#REF!,A300),"*Non-scientific*")&gt;0,IF(INDEX(#REF!,A300)*INDEX(#REF!,A300)&gt;pers_NSP_max_months,$B$139,""),""),"")</f>
        <v/>
      </c>
      <c r="Q300" s="113" t="str">
        <f>IFERROR(IF(COUNTIF(INDEX(#REF!,A300),"*Other scientific*")&gt;0,IF(OR(IFERROR(MATCH("*PhD*",#REF!,0),0)&gt;0,IFERROR(MATCH("*PostDoc*",#REF!,0),0)&gt;0),"",$B$140),""),"")</f>
        <v/>
      </c>
      <c r="R300" s="113" t="str">
        <f>IFERROR(IF(COUNTIF(INDEX(#REF!,A300),"*Other scientific*")&gt;0,IF(Total_OSP&gt;pers_max_OSP,$B$141,""),""),"")</f>
        <v/>
      </c>
      <c r="S300" s="113" t="str">
        <f>IFERROR(IF(COUNTIF(INDEX(#REF!,A300),"*Other scientific*")&gt;0,IF(INDEX(#REF!,A300)*INDEX(#REF!,A300)&lt;pers_OSP_min_months,$B$142,""),""),"")</f>
        <v/>
      </c>
      <c r="T300" s="113" t="str">
        <f>IFERROR(IF(COUNTIF(INDEX(#REF!,A300),"*Other scientific*")&gt;0,IF(INDEX(#REF!,A300)*INDEX(#REF!,A300)&gt;pers_OSP_max_months,$B$143,""),""),"")</f>
        <v/>
      </c>
      <c r="U300" s="113" t="str">
        <f>IFERROR(IF(COUNTIF(INDEX(#REF!,A300),"*leave*")&gt;0,IF(Total_Research_leave&gt;pers_leave_maxperc*Total_NWO_funding,$B$144,""),""),"")</f>
        <v/>
      </c>
      <c r="V300" s="113" t="str">
        <f>IFERROR(IF(COUNTIF(INDEX(#REF!,A300),"*leave*")&gt;0,IF(Research_leave_FTE_months&gt;pers_leave_maxduration,$B$145,""),""),"")</f>
        <v/>
      </c>
      <c r="W300" s="113" t="str">
        <f>IFERROR(IF(AND(INDEX(#REF!,A300)=0,INDEX(salaries_academic[[category]:[1]],MATCH(INDEX(#REF!,A300),salaries_academic[category],0),3)=0),$B$148,""),"")</f>
        <v/>
      </c>
      <c r="X300" s="113" t="e">
        <f>IF(AND(organisation_type="yes",INDEX(#REF!,A300,1)&lt;&gt;"",ISBLANK(INDEX(#REF!,A300,1))),$B$146,"")</f>
        <v>#REF!</v>
      </c>
      <c r="Y300" s="113" t="e">
        <f>IF(AND(organisation_name="yes",INDEX(#REF!,A300,1)&lt;&gt;"",ISBLANK(INDEX(#REF!,A300,1))),$B$147,"")</f>
        <v>#REF!</v>
      </c>
      <c r="Z300" s="113" t="str">
        <f>IFERROR(IF(AND(INDEX(#REF!,A300)&gt;0,INDEX(salaries_academic[[category]:[1]],MATCH(INDEX(#REF!,A300),salaries_academic[category],0),3)&gt;0),$B$149,""),"")</f>
        <v/>
      </c>
    </row>
    <row r="301" spans="1:26" outlineLevel="1" x14ac:dyDescent="0.35">
      <c r="A301" s="113">
        <v>94</v>
      </c>
      <c r="B301" s="113" t="str">
        <f t="array" ref="B301">IFERROR(INDEX(personnel_ac_notes[[#This Row],[Exceeding nr months]:[Costs specified]],1,MATCH(TRUE,LEN(personnel_ac_notes[[#This Row],[Exceeding nr months]:[Costs specified]])&gt;0,0)),"")</f>
        <v/>
      </c>
      <c r="C301" s="113" t="str">
        <f>IFERROR(IF(INDEX(#REF!,A301)&gt;Max_project_duration,$B$128,""),"")</f>
        <v/>
      </c>
      <c r="D301" s="113" t="str">
        <f>IFERROR(IF(AND(LEN(INDEX(#REF!,A301))+LEN(INDEX(#REF!,A301))+LEN(INDEX(#REF!,A301))&gt;0,LEN(INDEX(#REF!,A301-1))+LEN(INDEX(#REF!,A301-1))+LEN(INDEX(#REF!,A301-1))=0),$B$127,""),"")</f>
        <v/>
      </c>
      <c r="E301" s="113" t="str">
        <f>IF(AND(NOT(ISBLANK(INDEX(#REF!,A301))),OR(ISBLANK(INDEX(#REF!,A301)),ISBLANK(INDEX(#REF!,A301)))),VLOOKUP(INDEX(#REF!,A301),salaries_academic[],2,FALSE),"")</f>
        <v/>
      </c>
      <c r="F301" s="113" t="str">
        <f>IFERROR(IF(COUNTIF(INDEX(#REF!,A301),"*- PhD*")&gt;0,IF(INDEX(#REF!,A301)*INDEX(#REF!,A301)&lt;pers_PhD_min_months,$B$129,""),""),"")</f>
        <v/>
      </c>
      <c r="G301" s="113" t="str">
        <f>IFERROR(IF(COUNTIF(INDEX(#REF!,$A301),"*- PhD*")&gt;0,IF(INDEX(#REF!,$A301)*INDEX(#REF!,$A301)&gt;pers_PhD_max_months,$B$130,""),""),"")</f>
        <v/>
      </c>
      <c r="H301" s="113" t="str">
        <f>IFERROR(IF(COUNTIF(INDEX(#REF!,A301),"*year*")&gt;0,IF(INDEX(#REF!,A301)*INDEX(#REF!,A301)&lt;pers_3yPhD_min_months,$B$131,""),""),"")</f>
        <v/>
      </c>
      <c r="I301" s="113" t="str">
        <f>IFERROR(IF(COUNTIF(INDEX(#REF!,A301),"*PDEng*")&gt;0,IF(OR(IFERROR(MATCH("*PhD*",#REF!,0),0)&gt;0,IFERROR(MATCH("*PostDoc*",#REF!,0),0)&gt;0),"",$B$132),""),"")</f>
        <v/>
      </c>
      <c r="J301" s="113" t="str">
        <f>IFERROR(IF(COUNTIF(INDEX(#REF!,A301),"*PDEng*")&gt;0,IF(INDEX(#REF!,A301)*INDEX(#REF!,A301)&gt;pers_PDEng_max_months,$B$133,""),""),"")</f>
        <v/>
      </c>
      <c r="K301" s="113" t="str">
        <f>IFERROR(IF(COUNTIF(INDEX(#REF!,A301),"*PostDoc*")&gt;0,IF(INDEX(#REF!,A301)*INDEX(#REF!,A301)&lt;pers_PD_min_months,$B$134,""),""),"")</f>
        <v/>
      </c>
      <c r="L301" s="113" t="str">
        <f>IFERROR(IF(COUNTIF(INDEX(#REF!,A301),"*PostDoc*")&gt;0,IF(INDEX(#REF!,A301)*INDEX(#REF!,A301)&gt;pers_PD_max_months,$B$135,""),""),"")</f>
        <v/>
      </c>
      <c r="M301" s="113" t="str">
        <f>IFERROR(IF(COUNTIF(INDEX(#REF!,A301),"*Non-scientific*")&gt;0,IF(OR(IFERROR(MATCH("*PhD*",#REF!,0),0)&gt;0,IFERROR(MATCH("*PostDoc*",#REF!,0),0)&gt;0),"",$B$136),""),"")</f>
        <v/>
      </c>
      <c r="N301" s="113" t="str">
        <f>IFERROR(IF(COUNTIF(INDEX(#REF!,A301),"*Non-scientific*")&gt;0,IF(Total_NSP&gt;pers_max_NSP,$B$137,""),""),"")</f>
        <v/>
      </c>
      <c r="O301" s="113" t="str">
        <f>IFERROR(IF(COUNTIF(INDEX(#REF!,A301),"*Non-scientific*")&gt;0,IF(INDEX(#REF!,A301)*INDEX(#REF!,A301)&lt;pers_NSP_min_months,$B$138,""),""),"")</f>
        <v/>
      </c>
      <c r="P301" s="113" t="str">
        <f>IFERROR(IF(COUNTIF(INDEX(#REF!,A301),"*Non-scientific*")&gt;0,IF(INDEX(#REF!,A301)*INDEX(#REF!,A301)&gt;pers_NSP_max_months,$B$139,""),""),"")</f>
        <v/>
      </c>
      <c r="Q301" s="113" t="str">
        <f>IFERROR(IF(COUNTIF(INDEX(#REF!,A301),"*Other scientific*")&gt;0,IF(OR(IFERROR(MATCH("*PhD*",#REF!,0),0)&gt;0,IFERROR(MATCH("*PostDoc*",#REF!,0),0)&gt;0),"",$B$140),""),"")</f>
        <v/>
      </c>
      <c r="R301" s="113" t="str">
        <f>IFERROR(IF(COUNTIF(INDEX(#REF!,A301),"*Other scientific*")&gt;0,IF(Total_OSP&gt;pers_max_OSP,$B$141,""),""),"")</f>
        <v/>
      </c>
      <c r="S301" s="113" t="str">
        <f>IFERROR(IF(COUNTIF(INDEX(#REF!,A301),"*Other scientific*")&gt;0,IF(INDEX(#REF!,A301)*INDEX(#REF!,A301)&lt;pers_OSP_min_months,$B$142,""),""),"")</f>
        <v/>
      </c>
      <c r="T301" s="113" t="str">
        <f>IFERROR(IF(COUNTIF(INDEX(#REF!,A301),"*Other scientific*")&gt;0,IF(INDEX(#REF!,A301)*INDEX(#REF!,A301)&gt;pers_OSP_max_months,$B$143,""),""),"")</f>
        <v/>
      </c>
      <c r="U301" s="113" t="str">
        <f>IFERROR(IF(COUNTIF(INDEX(#REF!,A301),"*leave*")&gt;0,IF(Total_Research_leave&gt;pers_leave_maxperc*Total_NWO_funding,$B$144,""),""),"")</f>
        <v/>
      </c>
      <c r="V301" s="113" t="str">
        <f>IFERROR(IF(COUNTIF(INDEX(#REF!,A301),"*leave*")&gt;0,IF(Research_leave_FTE_months&gt;pers_leave_maxduration,$B$145,""),""),"")</f>
        <v/>
      </c>
      <c r="W301" s="113" t="str">
        <f>IFERROR(IF(AND(INDEX(#REF!,A301)=0,INDEX(salaries_academic[[category]:[1]],MATCH(INDEX(#REF!,A301),salaries_academic[category],0),3)=0),$B$148,""),"")</f>
        <v/>
      </c>
      <c r="X301" s="113" t="e">
        <f>IF(AND(organisation_type="yes",INDEX(#REF!,A301,1)&lt;&gt;"",ISBLANK(INDEX(#REF!,A301,1))),$B$146,"")</f>
        <v>#REF!</v>
      </c>
      <c r="Y301" s="113" t="e">
        <f>IF(AND(organisation_name="yes",INDEX(#REF!,A301,1)&lt;&gt;"",ISBLANK(INDEX(#REF!,A301,1))),$B$147,"")</f>
        <v>#REF!</v>
      </c>
      <c r="Z301" s="113" t="str">
        <f>IFERROR(IF(AND(INDEX(#REF!,A301)&gt;0,INDEX(salaries_academic[[category]:[1]],MATCH(INDEX(#REF!,A301),salaries_academic[category],0),3)&gt;0),$B$149,""),"")</f>
        <v/>
      </c>
    </row>
    <row r="302" spans="1:26" outlineLevel="1" x14ac:dyDescent="0.35">
      <c r="A302" s="113">
        <v>95</v>
      </c>
      <c r="B302" s="113" t="str">
        <f t="array" ref="B302">IFERROR(INDEX(personnel_ac_notes[[#This Row],[Exceeding nr months]:[Costs specified]],1,MATCH(TRUE,LEN(personnel_ac_notes[[#This Row],[Exceeding nr months]:[Costs specified]])&gt;0,0)),"")</f>
        <v/>
      </c>
      <c r="C302" s="113" t="str">
        <f>IFERROR(IF(INDEX(#REF!,A302)&gt;Max_project_duration,$B$128,""),"")</f>
        <v/>
      </c>
      <c r="D302" s="113" t="str">
        <f>IFERROR(IF(AND(LEN(INDEX(#REF!,A302))+LEN(INDEX(#REF!,A302))+LEN(INDEX(#REF!,A302))&gt;0,LEN(INDEX(#REF!,A302-1))+LEN(INDEX(#REF!,A302-1))+LEN(INDEX(#REF!,A302-1))=0),$B$127,""),"")</f>
        <v/>
      </c>
      <c r="E302" s="113" t="str">
        <f>IF(AND(NOT(ISBLANK(INDEX(#REF!,A302))),OR(ISBLANK(INDEX(#REF!,A302)),ISBLANK(INDEX(#REF!,A302)))),VLOOKUP(INDEX(#REF!,A302),salaries_academic[],2,FALSE),"")</f>
        <v/>
      </c>
      <c r="F302" s="113" t="str">
        <f>IFERROR(IF(COUNTIF(INDEX(#REF!,A302),"*- PhD*")&gt;0,IF(INDEX(#REF!,A302)*INDEX(#REF!,A302)&lt;pers_PhD_min_months,$B$129,""),""),"")</f>
        <v/>
      </c>
      <c r="G302" s="113" t="str">
        <f>IFERROR(IF(COUNTIF(INDEX(#REF!,$A302),"*- PhD*")&gt;0,IF(INDEX(#REF!,$A302)*INDEX(#REF!,$A302)&gt;pers_PhD_max_months,$B$130,""),""),"")</f>
        <v/>
      </c>
      <c r="H302" s="113" t="str">
        <f>IFERROR(IF(COUNTIF(INDEX(#REF!,A302),"*year*")&gt;0,IF(INDEX(#REF!,A302)*INDEX(#REF!,A302)&lt;pers_3yPhD_min_months,$B$131,""),""),"")</f>
        <v/>
      </c>
      <c r="I302" s="113" t="str">
        <f>IFERROR(IF(COUNTIF(INDEX(#REF!,A302),"*PDEng*")&gt;0,IF(OR(IFERROR(MATCH("*PhD*",#REF!,0),0)&gt;0,IFERROR(MATCH("*PostDoc*",#REF!,0),0)&gt;0),"",$B$132),""),"")</f>
        <v/>
      </c>
      <c r="J302" s="113" t="str">
        <f>IFERROR(IF(COUNTIF(INDEX(#REF!,A302),"*PDEng*")&gt;0,IF(INDEX(#REF!,A302)*INDEX(#REF!,A302)&gt;pers_PDEng_max_months,$B$133,""),""),"")</f>
        <v/>
      </c>
      <c r="K302" s="113" t="str">
        <f>IFERROR(IF(COUNTIF(INDEX(#REF!,A302),"*PostDoc*")&gt;0,IF(INDEX(#REF!,A302)*INDEX(#REF!,A302)&lt;pers_PD_min_months,$B$134,""),""),"")</f>
        <v/>
      </c>
      <c r="L302" s="113" t="str">
        <f>IFERROR(IF(COUNTIF(INDEX(#REF!,A302),"*PostDoc*")&gt;0,IF(INDEX(#REF!,A302)*INDEX(#REF!,A302)&gt;pers_PD_max_months,$B$135,""),""),"")</f>
        <v/>
      </c>
      <c r="M302" s="113" t="str">
        <f>IFERROR(IF(COUNTIF(INDEX(#REF!,A302),"*Non-scientific*")&gt;0,IF(OR(IFERROR(MATCH("*PhD*",#REF!,0),0)&gt;0,IFERROR(MATCH("*PostDoc*",#REF!,0),0)&gt;0),"",$B$136),""),"")</f>
        <v/>
      </c>
      <c r="N302" s="113" t="str">
        <f>IFERROR(IF(COUNTIF(INDEX(#REF!,A302),"*Non-scientific*")&gt;0,IF(Total_NSP&gt;pers_max_NSP,$B$137,""),""),"")</f>
        <v/>
      </c>
      <c r="O302" s="113" t="str">
        <f>IFERROR(IF(COUNTIF(INDEX(#REF!,A302),"*Non-scientific*")&gt;0,IF(INDEX(#REF!,A302)*INDEX(#REF!,A302)&lt;pers_NSP_min_months,$B$138,""),""),"")</f>
        <v/>
      </c>
      <c r="P302" s="113" t="str">
        <f>IFERROR(IF(COUNTIF(INDEX(#REF!,A302),"*Non-scientific*")&gt;0,IF(INDEX(#REF!,A302)*INDEX(#REF!,A302)&gt;pers_NSP_max_months,$B$139,""),""),"")</f>
        <v/>
      </c>
      <c r="Q302" s="113" t="str">
        <f>IFERROR(IF(COUNTIF(INDEX(#REF!,A302),"*Other scientific*")&gt;0,IF(OR(IFERROR(MATCH("*PhD*",#REF!,0),0)&gt;0,IFERROR(MATCH("*PostDoc*",#REF!,0),0)&gt;0),"",$B$140),""),"")</f>
        <v/>
      </c>
      <c r="R302" s="113" t="str">
        <f>IFERROR(IF(COUNTIF(INDEX(#REF!,A302),"*Other scientific*")&gt;0,IF(Total_OSP&gt;pers_max_OSP,$B$141,""),""),"")</f>
        <v/>
      </c>
      <c r="S302" s="113" t="str">
        <f>IFERROR(IF(COUNTIF(INDEX(#REF!,A302),"*Other scientific*")&gt;0,IF(INDEX(#REF!,A302)*INDEX(#REF!,A302)&lt;pers_OSP_min_months,$B$142,""),""),"")</f>
        <v/>
      </c>
      <c r="T302" s="113" t="str">
        <f>IFERROR(IF(COUNTIF(INDEX(#REF!,A302),"*Other scientific*")&gt;0,IF(INDEX(#REF!,A302)*INDEX(#REF!,A302)&gt;pers_OSP_max_months,$B$143,""),""),"")</f>
        <v/>
      </c>
      <c r="U302" s="113" t="str">
        <f>IFERROR(IF(COUNTIF(INDEX(#REF!,A302),"*leave*")&gt;0,IF(Total_Research_leave&gt;pers_leave_maxperc*Total_NWO_funding,$B$144,""),""),"")</f>
        <v/>
      </c>
      <c r="V302" s="113" t="str">
        <f>IFERROR(IF(COUNTIF(INDEX(#REF!,A302),"*leave*")&gt;0,IF(Research_leave_FTE_months&gt;pers_leave_maxduration,$B$145,""),""),"")</f>
        <v/>
      </c>
      <c r="W302" s="113" t="str">
        <f>IFERROR(IF(AND(INDEX(#REF!,A302)=0,INDEX(salaries_academic[[category]:[1]],MATCH(INDEX(#REF!,A302),salaries_academic[category],0),3)=0),$B$148,""),"")</f>
        <v/>
      </c>
      <c r="X302" s="113" t="e">
        <f>IF(AND(organisation_type="yes",INDEX(#REF!,A302,1)&lt;&gt;"",ISBLANK(INDEX(#REF!,A302,1))),$B$146,"")</f>
        <v>#REF!</v>
      </c>
      <c r="Y302" s="113" t="e">
        <f>IF(AND(organisation_name="yes",INDEX(#REF!,A302,1)&lt;&gt;"",ISBLANK(INDEX(#REF!,A302,1))),$B$147,"")</f>
        <v>#REF!</v>
      </c>
      <c r="Z302" s="113" t="str">
        <f>IFERROR(IF(AND(INDEX(#REF!,A302)&gt;0,INDEX(salaries_academic[[category]:[1]],MATCH(INDEX(#REF!,A302),salaries_academic[category],0),3)&gt;0),$B$149,""),"")</f>
        <v/>
      </c>
    </row>
    <row r="303" spans="1:26" outlineLevel="1" x14ac:dyDescent="0.35">
      <c r="A303" s="113">
        <v>96</v>
      </c>
      <c r="B303" s="113" t="str">
        <f t="array" ref="B303">IFERROR(INDEX(personnel_ac_notes[[#This Row],[Exceeding nr months]:[Costs specified]],1,MATCH(TRUE,LEN(personnel_ac_notes[[#This Row],[Exceeding nr months]:[Costs specified]])&gt;0,0)),"")</f>
        <v/>
      </c>
      <c r="C303" s="113" t="str">
        <f>IFERROR(IF(INDEX(#REF!,A303)&gt;Max_project_duration,$B$128,""),"")</f>
        <v/>
      </c>
      <c r="D303" s="113" t="str">
        <f>IFERROR(IF(AND(LEN(INDEX(#REF!,A303))+LEN(INDEX(#REF!,A303))+LEN(INDEX(#REF!,A303))&gt;0,LEN(INDEX(#REF!,A303-1))+LEN(INDEX(#REF!,A303-1))+LEN(INDEX(#REF!,A303-1))=0),$B$127,""),"")</f>
        <v/>
      </c>
      <c r="E303" s="113" t="str">
        <f>IF(AND(NOT(ISBLANK(INDEX(#REF!,A303))),OR(ISBLANK(INDEX(#REF!,A303)),ISBLANK(INDEX(#REF!,A303)))),VLOOKUP(INDEX(#REF!,A303),salaries_academic[],2,FALSE),"")</f>
        <v/>
      </c>
      <c r="F303" s="113" t="str">
        <f>IFERROR(IF(COUNTIF(INDEX(#REF!,A303),"*- PhD*")&gt;0,IF(INDEX(#REF!,A303)*INDEX(#REF!,A303)&lt;pers_PhD_min_months,$B$129,""),""),"")</f>
        <v/>
      </c>
      <c r="G303" s="113" t="str">
        <f>IFERROR(IF(COUNTIF(INDEX(#REF!,$A303),"*- PhD*")&gt;0,IF(INDEX(#REF!,$A303)*INDEX(#REF!,$A303)&gt;pers_PhD_max_months,$B$130,""),""),"")</f>
        <v/>
      </c>
      <c r="H303" s="113" t="str">
        <f>IFERROR(IF(COUNTIF(INDEX(#REF!,A303),"*year*")&gt;0,IF(INDEX(#REF!,A303)*INDEX(#REF!,A303)&lt;pers_3yPhD_min_months,$B$131,""),""),"")</f>
        <v/>
      </c>
      <c r="I303" s="113" t="str">
        <f>IFERROR(IF(COUNTIF(INDEX(#REF!,A303),"*PDEng*")&gt;0,IF(OR(IFERROR(MATCH("*PhD*",#REF!,0),0)&gt;0,IFERROR(MATCH("*PostDoc*",#REF!,0),0)&gt;0),"",$B$132),""),"")</f>
        <v/>
      </c>
      <c r="J303" s="113" t="str">
        <f>IFERROR(IF(COUNTIF(INDEX(#REF!,A303),"*PDEng*")&gt;0,IF(INDEX(#REF!,A303)*INDEX(#REF!,A303)&gt;pers_PDEng_max_months,$B$133,""),""),"")</f>
        <v/>
      </c>
      <c r="K303" s="113" t="str">
        <f>IFERROR(IF(COUNTIF(INDEX(#REF!,A303),"*PostDoc*")&gt;0,IF(INDEX(#REF!,A303)*INDEX(#REF!,A303)&lt;pers_PD_min_months,$B$134,""),""),"")</f>
        <v/>
      </c>
      <c r="L303" s="113" t="str">
        <f>IFERROR(IF(COUNTIF(INDEX(#REF!,A303),"*PostDoc*")&gt;0,IF(INDEX(#REF!,A303)*INDEX(#REF!,A303)&gt;pers_PD_max_months,$B$135,""),""),"")</f>
        <v/>
      </c>
      <c r="M303" s="113" t="str">
        <f>IFERROR(IF(COUNTIF(INDEX(#REF!,A303),"*Non-scientific*")&gt;0,IF(OR(IFERROR(MATCH("*PhD*",#REF!,0),0)&gt;0,IFERROR(MATCH("*PostDoc*",#REF!,0),0)&gt;0),"",$B$136),""),"")</f>
        <v/>
      </c>
      <c r="N303" s="113" t="str">
        <f>IFERROR(IF(COUNTIF(INDEX(#REF!,A303),"*Non-scientific*")&gt;0,IF(Total_NSP&gt;pers_max_NSP,$B$137,""),""),"")</f>
        <v/>
      </c>
      <c r="O303" s="113" t="str">
        <f>IFERROR(IF(COUNTIF(INDEX(#REF!,A303),"*Non-scientific*")&gt;0,IF(INDEX(#REF!,A303)*INDEX(#REF!,A303)&lt;pers_NSP_min_months,$B$138,""),""),"")</f>
        <v/>
      </c>
      <c r="P303" s="113" t="str">
        <f>IFERROR(IF(COUNTIF(INDEX(#REF!,A303),"*Non-scientific*")&gt;0,IF(INDEX(#REF!,A303)*INDEX(#REF!,A303)&gt;pers_NSP_max_months,$B$139,""),""),"")</f>
        <v/>
      </c>
      <c r="Q303" s="113" t="str">
        <f>IFERROR(IF(COUNTIF(INDEX(#REF!,A303),"*Other scientific*")&gt;0,IF(OR(IFERROR(MATCH("*PhD*",#REF!,0),0)&gt;0,IFERROR(MATCH("*PostDoc*",#REF!,0),0)&gt;0),"",$B$140),""),"")</f>
        <v/>
      </c>
      <c r="R303" s="113" t="str">
        <f>IFERROR(IF(COUNTIF(INDEX(#REF!,A303),"*Other scientific*")&gt;0,IF(Total_OSP&gt;pers_max_OSP,$B$141,""),""),"")</f>
        <v/>
      </c>
      <c r="S303" s="113" t="str">
        <f>IFERROR(IF(COUNTIF(INDEX(#REF!,A303),"*Other scientific*")&gt;0,IF(INDEX(#REF!,A303)*INDEX(#REF!,A303)&lt;pers_OSP_min_months,$B$142,""),""),"")</f>
        <v/>
      </c>
      <c r="T303" s="113" t="str">
        <f>IFERROR(IF(COUNTIF(INDEX(#REF!,A303),"*Other scientific*")&gt;0,IF(INDEX(#REF!,A303)*INDEX(#REF!,A303)&gt;pers_OSP_max_months,$B$143,""),""),"")</f>
        <v/>
      </c>
      <c r="U303" s="113" t="str">
        <f>IFERROR(IF(COUNTIF(INDEX(#REF!,A303),"*leave*")&gt;0,IF(Total_Research_leave&gt;pers_leave_maxperc*Total_NWO_funding,$B$144,""),""),"")</f>
        <v/>
      </c>
      <c r="V303" s="113" t="str">
        <f>IFERROR(IF(COUNTIF(INDEX(#REF!,A303),"*leave*")&gt;0,IF(Research_leave_FTE_months&gt;pers_leave_maxduration,$B$145,""),""),"")</f>
        <v/>
      </c>
      <c r="W303" s="113" t="str">
        <f>IFERROR(IF(AND(INDEX(#REF!,A303)=0,INDEX(salaries_academic[[category]:[1]],MATCH(INDEX(#REF!,A303),salaries_academic[category],0),3)=0),$B$148,""),"")</f>
        <v/>
      </c>
      <c r="X303" s="113" t="e">
        <f>IF(AND(organisation_type="yes",INDEX(#REF!,A303,1)&lt;&gt;"",ISBLANK(INDEX(#REF!,A303,1))),$B$146,"")</f>
        <v>#REF!</v>
      </c>
      <c r="Y303" s="113" t="e">
        <f>IF(AND(organisation_name="yes",INDEX(#REF!,A303,1)&lt;&gt;"",ISBLANK(INDEX(#REF!,A303,1))),$B$147,"")</f>
        <v>#REF!</v>
      </c>
      <c r="Z303" s="113" t="str">
        <f>IFERROR(IF(AND(INDEX(#REF!,A303)&gt;0,INDEX(salaries_academic[[category]:[1]],MATCH(INDEX(#REF!,A303),salaries_academic[category],0),3)&gt;0),$B$149,""),"")</f>
        <v/>
      </c>
    </row>
    <row r="304" spans="1:26" outlineLevel="1" x14ac:dyDescent="0.35">
      <c r="A304" s="113">
        <v>97</v>
      </c>
      <c r="B304" s="113" t="str">
        <f t="array" ref="B304">IFERROR(INDEX(personnel_ac_notes[[#This Row],[Exceeding nr months]:[Costs specified]],1,MATCH(TRUE,LEN(personnel_ac_notes[[#This Row],[Exceeding nr months]:[Costs specified]])&gt;0,0)),"")</f>
        <v/>
      </c>
      <c r="C304" s="113" t="str">
        <f>IFERROR(IF(INDEX(#REF!,A304)&gt;Max_project_duration,$B$128,""),"")</f>
        <v/>
      </c>
      <c r="D304" s="113" t="str">
        <f>IFERROR(IF(AND(LEN(INDEX(#REF!,A304))+LEN(INDEX(#REF!,A304))+LEN(INDEX(#REF!,A304))&gt;0,LEN(INDEX(#REF!,A304-1))+LEN(INDEX(#REF!,A304-1))+LEN(INDEX(#REF!,A304-1))=0),$B$127,""),"")</f>
        <v/>
      </c>
      <c r="E304" s="113" t="str">
        <f>IF(AND(NOT(ISBLANK(INDEX(#REF!,A304))),OR(ISBLANK(INDEX(#REF!,A304)),ISBLANK(INDEX(#REF!,A304)))),VLOOKUP(INDEX(#REF!,A304),salaries_academic[],2,FALSE),"")</f>
        <v/>
      </c>
      <c r="F304" s="113" t="str">
        <f>IFERROR(IF(COUNTIF(INDEX(#REF!,A304),"*- PhD*")&gt;0,IF(INDEX(#REF!,A304)*INDEX(#REF!,A304)&lt;pers_PhD_min_months,$B$129,""),""),"")</f>
        <v/>
      </c>
      <c r="G304" s="113" t="str">
        <f>IFERROR(IF(COUNTIF(INDEX(#REF!,$A304),"*- PhD*")&gt;0,IF(INDEX(#REF!,$A304)*INDEX(#REF!,$A304)&gt;pers_PhD_max_months,$B$130,""),""),"")</f>
        <v/>
      </c>
      <c r="H304" s="113" t="str">
        <f>IFERROR(IF(COUNTIF(INDEX(#REF!,A304),"*year*")&gt;0,IF(INDEX(#REF!,A304)*INDEX(#REF!,A304)&lt;pers_3yPhD_min_months,$B$131,""),""),"")</f>
        <v/>
      </c>
      <c r="I304" s="113" t="str">
        <f>IFERROR(IF(COUNTIF(INDEX(#REF!,A304),"*PDEng*")&gt;0,IF(OR(IFERROR(MATCH("*PhD*",#REF!,0),0)&gt;0,IFERROR(MATCH("*PostDoc*",#REF!,0),0)&gt;0),"",$B$132),""),"")</f>
        <v/>
      </c>
      <c r="J304" s="113" t="str">
        <f>IFERROR(IF(COUNTIF(INDEX(#REF!,A304),"*PDEng*")&gt;0,IF(INDEX(#REF!,A304)*INDEX(#REF!,A304)&gt;pers_PDEng_max_months,$B$133,""),""),"")</f>
        <v/>
      </c>
      <c r="K304" s="113" t="str">
        <f>IFERROR(IF(COUNTIF(INDEX(#REF!,A304),"*PostDoc*")&gt;0,IF(INDEX(#REF!,A304)*INDEX(#REF!,A304)&lt;pers_PD_min_months,$B$134,""),""),"")</f>
        <v/>
      </c>
      <c r="L304" s="113" t="str">
        <f>IFERROR(IF(COUNTIF(INDEX(#REF!,A304),"*PostDoc*")&gt;0,IF(INDEX(#REF!,A304)*INDEX(#REF!,A304)&gt;pers_PD_max_months,$B$135,""),""),"")</f>
        <v/>
      </c>
      <c r="M304" s="113" t="str">
        <f>IFERROR(IF(COUNTIF(INDEX(#REF!,A304),"*Non-scientific*")&gt;0,IF(OR(IFERROR(MATCH("*PhD*",#REF!,0),0)&gt;0,IFERROR(MATCH("*PostDoc*",#REF!,0),0)&gt;0),"",$B$136),""),"")</f>
        <v/>
      </c>
      <c r="N304" s="113" t="str">
        <f>IFERROR(IF(COUNTIF(INDEX(#REF!,A304),"*Non-scientific*")&gt;0,IF(Total_NSP&gt;pers_max_NSP,$B$137,""),""),"")</f>
        <v/>
      </c>
      <c r="O304" s="113" t="str">
        <f>IFERROR(IF(COUNTIF(INDEX(#REF!,A304),"*Non-scientific*")&gt;0,IF(INDEX(#REF!,A304)*INDEX(#REF!,A304)&lt;pers_NSP_min_months,$B$138,""),""),"")</f>
        <v/>
      </c>
      <c r="P304" s="113" t="str">
        <f>IFERROR(IF(COUNTIF(INDEX(#REF!,A304),"*Non-scientific*")&gt;0,IF(INDEX(#REF!,A304)*INDEX(#REF!,A304)&gt;pers_NSP_max_months,$B$139,""),""),"")</f>
        <v/>
      </c>
      <c r="Q304" s="113" t="str">
        <f>IFERROR(IF(COUNTIF(INDEX(#REF!,A304),"*Other scientific*")&gt;0,IF(OR(IFERROR(MATCH("*PhD*",#REF!,0),0)&gt;0,IFERROR(MATCH("*PostDoc*",#REF!,0),0)&gt;0),"",$B$140),""),"")</f>
        <v/>
      </c>
      <c r="R304" s="113" t="str">
        <f>IFERROR(IF(COUNTIF(INDEX(#REF!,A304),"*Other scientific*")&gt;0,IF(Total_OSP&gt;pers_max_OSP,$B$141,""),""),"")</f>
        <v/>
      </c>
      <c r="S304" s="113" t="str">
        <f>IFERROR(IF(COUNTIF(INDEX(#REF!,A304),"*Other scientific*")&gt;0,IF(INDEX(#REF!,A304)*INDEX(#REF!,A304)&lt;pers_OSP_min_months,$B$142,""),""),"")</f>
        <v/>
      </c>
      <c r="T304" s="113" t="str">
        <f>IFERROR(IF(COUNTIF(INDEX(#REF!,A304),"*Other scientific*")&gt;0,IF(INDEX(#REF!,A304)*INDEX(#REF!,A304)&gt;pers_OSP_max_months,$B$143,""),""),"")</f>
        <v/>
      </c>
      <c r="U304" s="113" t="str">
        <f>IFERROR(IF(COUNTIF(INDEX(#REF!,A304),"*leave*")&gt;0,IF(Total_Research_leave&gt;pers_leave_maxperc*Total_NWO_funding,$B$144,""),""),"")</f>
        <v/>
      </c>
      <c r="V304" s="113" t="str">
        <f>IFERROR(IF(COUNTIF(INDEX(#REF!,A304),"*leave*")&gt;0,IF(Research_leave_FTE_months&gt;pers_leave_maxduration,$B$145,""),""),"")</f>
        <v/>
      </c>
      <c r="W304" s="113" t="str">
        <f>IFERROR(IF(AND(INDEX(#REF!,A304)=0,INDEX(salaries_academic[[category]:[1]],MATCH(INDEX(#REF!,A304),salaries_academic[category],0),3)=0),$B$148,""),"")</f>
        <v/>
      </c>
      <c r="X304" s="113" t="e">
        <f>IF(AND(organisation_type="yes",INDEX(#REF!,A304,1)&lt;&gt;"",ISBLANK(INDEX(#REF!,A304,1))),$B$146,"")</f>
        <v>#REF!</v>
      </c>
      <c r="Y304" s="113" t="e">
        <f>IF(AND(organisation_name="yes",INDEX(#REF!,A304,1)&lt;&gt;"",ISBLANK(INDEX(#REF!,A304,1))),$B$147,"")</f>
        <v>#REF!</v>
      </c>
      <c r="Z304" s="113" t="str">
        <f>IFERROR(IF(AND(INDEX(#REF!,A304)&gt;0,INDEX(salaries_academic[[category]:[1]],MATCH(INDEX(#REF!,A304),salaries_academic[category],0),3)&gt;0),$B$149,""),"")</f>
        <v/>
      </c>
    </row>
    <row r="305" spans="1:26" outlineLevel="1" x14ac:dyDescent="0.35">
      <c r="A305" s="113">
        <v>98</v>
      </c>
      <c r="B305" s="113" t="str">
        <f t="array" ref="B305">IFERROR(INDEX(personnel_ac_notes[[#This Row],[Exceeding nr months]:[Costs specified]],1,MATCH(TRUE,LEN(personnel_ac_notes[[#This Row],[Exceeding nr months]:[Costs specified]])&gt;0,0)),"")</f>
        <v/>
      </c>
      <c r="C305" s="113" t="str">
        <f>IFERROR(IF(INDEX(#REF!,A305)&gt;Max_project_duration,$B$128,""),"")</f>
        <v/>
      </c>
      <c r="D305" s="113" t="str">
        <f>IFERROR(IF(AND(LEN(INDEX(#REF!,A305))+LEN(INDEX(#REF!,A305))+LEN(INDEX(#REF!,A305))&gt;0,LEN(INDEX(#REF!,A305-1))+LEN(INDEX(#REF!,A305-1))+LEN(INDEX(#REF!,A305-1))=0),$B$127,""),"")</f>
        <v/>
      </c>
      <c r="E305" s="113" t="str">
        <f>IF(AND(NOT(ISBLANK(INDEX(#REF!,A305))),OR(ISBLANK(INDEX(#REF!,A305)),ISBLANK(INDEX(#REF!,A305)))),VLOOKUP(INDEX(#REF!,A305),salaries_academic[],2,FALSE),"")</f>
        <v/>
      </c>
      <c r="F305" s="113" t="str">
        <f>IFERROR(IF(COUNTIF(INDEX(#REF!,A305),"*- PhD*")&gt;0,IF(INDEX(#REF!,A305)*INDEX(#REF!,A305)&lt;pers_PhD_min_months,$B$129,""),""),"")</f>
        <v/>
      </c>
      <c r="G305" s="113" t="str">
        <f>IFERROR(IF(COUNTIF(INDEX(#REF!,$A305),"*- PhD*")&gt;0,IF(INDEX(#REF!,$A305)*INDEX(#REF!,$A305)&gt;pers_PhD_max_months,$B$130,""),""),"")</f>
        <v/>
      </c>
      <c r="H305" s="113" t="str">
        <f>IFERROR(IF(COUNTIF(INDEX(#REF!,A305),"*year*")&gt;0,IF(INDEX(#REF!,A305)*INDEX(#REF!,A305)&lt;pers_3yPhD_min_months,$B$131,""),""),"")</f>
        <v/>
      </c>
      <c r="I305" s="113" t="str">
        <f>IFERROR(IF(COUNTIF(INDEX(#REF!,A305),"*PDEng*")&gt;0,IF(OR(IFERROR(MATCH("*PhD*",#REF!,0),0)&gt;0,IFERROR(MATCH("*PostDoc*",#REF!,0),0)&gt;0),"",$B$132),""),"")</f>
        <v/>
      </c>
      <c r="J305" s="113" t="str">
        <f>IFERROR(IF(COUNTIF(INDEX(#REF!,A305),"*PDEng*")&gt;0,IF(INDEX(#REF!,A305)*INDEX(#REF!,A305)&gt;pers_PDEng_max_months,$B$133,""),""),"")</f>
        <v/>
      </c>
      <c r="K305" s="113" t="str">
        <f>IFERROR(IF(COUNTIF(INDEX(#REF!,A305),"*PostDoc*")&gt;0,IF(INDEX(#REF!,A305)*INDEX(#REF!,A305)&lt;pers_PD_min_months,$B$134,""),""),"")</f>
        <v/>
      </c>
      <c r="L305" s="113" t="str">
        <f>IFERROR(IF(COUNTIF(INDEX(#REF!,A305),"*PostDoc*")&gt;0,IF(INDEX(#REF!,A305)*INDEX(#REF!,A305)&gt;pers_PD_max_months,$B$135,""),""),"")</f>
        <v/>
      </c>
      <c r="M305" s="113" t="str">
        <f>IFERROR(IF(COUNTIF(INDEX(#REF!,A305),"*Non-scientific*")&gt;0,IF(OR(IFERROR(MATCH("*PhD*",#REF!,0),0)&gt;0,IFERROR(MATCH("*PostDoc*",#REF!,0),0)&gt;0),"",$B$136),""),"")</f>
        <v/>
      </c>
      <c r="N305" s="113" t="str">
        <f>IFERROR(IF(COUNTIF(INDEX(#REF!,A305),"*Non-scientific*")&gt;0,IF(Total_NSP&gt;pers_max_NSP,$B$137,""),""),"")</f>
        <v/>
      </c>
      <c r="O305" s="113" t="str">
        <f>IFERROR(IF(COUNTIF(INDEX(#REF!,A305),"*Non-scientific*")&gt;0,IF(INDEX(#REF!,A305)*INDEX(#REF!,A305)&lt;pers_NSP_min_months,$B$138,""),""),"")</f>
        <v/>
      </c>
      <c r="P305" s="113" t="str">
        <f>IFERROR(IF(COUNTIF(INDEX(#REF!,A305),"*Non-scientific*")&gt;0,IF(INDEX(#REF!,A305)*INDEX(#REF!,A305)&gt;pers_NSP_max_months,$B$139,""),""),"")</f>
        <v/>
      </c>
      <c r="Q305" s="113" t="str">
        <f>IFERROR(IF(COUNTIF(INDEX(#REF!,A305),"*Other scientific*")&gt;0,IF(OR(IFERROR(MATCH("*PhD*",#REF!,0),0)&gt;0,IFERROR(MATCH("*PostDoc*",#REF!,0),0)&gt;0),"",$B$140),""),"")</f>
        <v/>
      </c>
      <c r="R305" s="113" t="str">
        <f>IFERROR(IF(COUNTIF(INDEX(#REF!,A305),"*Other scientific*")&gt;0,IF(Total_OSP&gt;pers_max_OSP,$B$141,""),""),"")</f>
        <v/>
      </c>
      <c r="S305" s="113" t="str">
        <f>IFERROR(IF(COUNTIF(INDEX(#REF!,A305),"*Other scientific*")&gt;0,IF(INDEX(#REF!,A305)*INDEX(#REF!,A305)&lt;pers_OSP_min_months,$B$142,""),""),"")</f>
        <v/>
      </c>
      <c r="T305" s="113" t="str">
        <f>IFERROR(IF(COUNTIF(INDEX(#REF!,A305),"*Other scientific*")&gt;0,IF(INDEX(#REF!,A305)*INDEX(#REF!,A305)&gt;pers_OSP_max_months,$B$143,""),""),"")</f>
        <v/>
      </c>
      <c r="U305" s="113" t="str">
        <f>IFERROR(IF(COUNTIF(INDEX(#REF!,A305),"*leave*")&gt;0,IF(Total_Research_leave&gt;pers_leave_maxperc*Total_NWO_funding,$B$144,""),""),"")</f>
        <v/>
      </c>
      <c r="V305" s="113" t="str">
        <f>IFERROR(IF(COUNTIF(INDEX(#REF!,A305),"*leave*")&gt;0,IF(Research_leave_FTE_months&gt;pers_leave_maxduration,$B$145,""),""),"")</f>
        <v/>
      </c>
      <c r="W305" s="113" t="str">
        <f>IFERROR(IF(AND(INDEX(#REF!,A305)=0,INDEX(salaries_academic[[category]:[1]],MATCH(INDEX(#REF!,A305),salaries_academic[category],0),3)=0),$B$148,""),"")</f>
        <v/>
      </c>
      <c r="X305" s="113" t="e">
        <f>IF(AND(organisation_type="yes",INDEX(#REF!,A305,1)&lt;&gt;"",ISBLANK(INDEX(#REF!,A305,1))),$B$146,"")</f>
        <v>#REF!</v>
      </c>
      <c r="Y305" s="113" t="e">
        <f>IF(AND(organisation_name="yes",INDEX(#REF!,A305,1)&lt;&gt;"",ISBLANK(INDEX(#REF!,A305,1))),$B$147,"")</f>
        <v>#REF!</v>
      </c>
      <c r="Z305" s="113" t="str">
        <f>IFERROR(IF(AND(INDEX(#REF!,A305)&gt;0,INDEX(salaries_academic[[category]:[1]],MATCH(INDEX(#REF!,A305),salaries_academic[category],0),3)&gt;0),$B$149,""),"")</f>
        <v/>
      </c>
    </row>
    <row r="306" spans="1:26" outlineLevel="1" x14ac:dyDescent="0.35">
      <c r="A306" s="113">
        <v>99</v>
      </c>
      <c r="B306" s="113" t="str">
        <f t="array" ref="B306">IFERROR(INDEX(personnel_ac_notes[[#This Row],[Exceeding nr months]:[Costs specified]],1,MATCH(TRUE,LEN(personnel_ac_notes[[#This Row],[Exceeding nr months]:[Costs specified]])&gt;0,0)),"")</f>
        <v/>
      </c>
      <c r="C306" s="113" t="str">
        <f>IFERROR(IF(INDEX(#REF!,A306)&gt;Max_project_duration,$B$128,""),"")</f>
        <v/>
      </c>
      <c r="D306" s="113" t="str">
        <f>IFERROR(IF(AND(LEN(INDEX(#REF!,A306))+LEN(INDEX(#REF!,A306))+LEN(INDEX(#REF!,A306))&gt;0,LEN(INDEX(#REF!,A306-1))+LEN(INDEX(#REF!,A306-1))+LEN(INDEX(#REF!,A306-1))=0),$B$127,""),"")</f>
        <v/>
      </c>
      <c r="E306" s="113" t="str">
        <f>IF(AND(NOT(ISBLANK(INDEX(#REF!,A306))),OR(ISBLANK(INDEX(#REF!,A306)),ISBLANK(INDEX(#REF!,A306)))),VLOOKUP(INDEX(#REF!,A306),salaries_academic[],2,FALSE),"")</f>
        <v/>
      </c>
      <c r="F306" s="113" t="str">
        <f>IFERROR(IF(COUNTIF(INDEX(#REF!,A306),"*- PhD*")&gt;0,IF(INDEX(#REF!,A306)*INDEX(#REF!,A306)&lt;pers_PhD_min_months,$B$129,""),""),"")</f>
        <v/>
      </c>
      <c r="G306" s="113" t="str">
        <f>IFERROR(IF(COUNTIF(INDEX(#REF!,$A306),"*- PhD*")&gt;0,IF(INDEX(#REF!,$A306)*INDEX(#REF!,$A306)&gt;pers_PhD_max_months,$B$130,""),""),"")</f>
        <v/>
      </c>
      <c r="H306" s="113" t="str">
        <f>IFERROR(IF(COUNTIF(INDEX(#REF!,A306),"*year*")&gt;0,IF(INDEX(#REF!,A306)*INDEX(#REF!,A306)&lt;pers_3yPhD_min_months,$B$131,""),""),"")</f>
        <v/>
      </c>
      <c r="I306" s="113" t="str">
        <f>IFERROR(IF(COUNTIF(INDEX(#REF!,A306),"*PDEng*")&gt;0,IF(OR(IFERROR(MATCH("*PhD*",#REF!,0),0)&gt;0,IFERROR(MATCH("*PostDoc*",#REF!,0),0)&gt;0),"",$B$132),""),"")</f>
        <v/>
      </c>
      <c r="J306" s="113" t="str">
        <f>IFERROR(IF(COUNTIF(INDEX(#REF!,A306),"*PDEng*")&gt;0,IF(INDEX(#REF!,A306)*INDEX(#REF!,A306)&gt;pers_PDEng_max_months,$B$133,""),""),"")</f>
        <v/>
      </c>
      <c r="K306" s="113" t="str">
        <f>IFERROR(IF(COUNTIF(INDEX(#REF!,A306),"*PostDoc*")&gt;0,IF(INDEX(#REF!,A306)*INDEX(#REF!,A306)&lt;pers_PD_min_months,$B$134,""),""),"")</f>
        <v/>
      </c>
      <c r="L306" s="113" t="str">
        <f>IFERROR(IF(COUNTIF(INDEX(#REF!,A306),"*PostDoc*")&gt;0,IF(INDEX(#REF!,A306)*INDEX(#REF!,A306)&gt;pers_PD_max_months,$B$135,""),""),"")</f>
        <v/>
      </c>
      <c r="M306" s="113" t="str">
        <f>IFERROR(IF(COUNTIF(INDEX(#REF!,A306),"*Non-scientific*")&gt;0,IF(OR(IFERROR(MATCH("*PhD*",#REF!,0),0)&gt;0,IFERROR(MATCH("*PostDoc*",#REF!,0),0)&gt;0),"",$B$136),""),"")</f>
        <v/>
      </c>
      <c r="N306" s="113" t="str">
        <f>IFERROR(IF(COUNTIF(INDEX(#REF!,A306),"*Non-scientific*")&gt;0,IF(Total_NSP&gt;pers_max_NSP,$B$137,""),""),"")</f>
        <v/>
      </c>
      <c r="O306" s="113" t="str">
        <f>IFERROR(IF(COUNTIF(INDEX(#REF!,A306),"*Non-scientific*")&gt;0,IF(INDEX(#REF!,A306)*INDEX(#REF!,A306)&lt;pers_NSP_min_months,$B$138,""),""),"")</f>
        <v/>
      </c>
      <c r="P306" s="113" t="str">
        <f>IFERROR(IF(COUNTIF(INDEX(#REF!,A306),"*Non-scientific*")&gt;0,IF(INDEX(#REF!,A306)*INDEX(#REF!,A306)&gt;pers_NSP_max_months,$B$139,""),""),"")</f>
        <v/>
      </c>
      <c r="Q306" s="113" t="str">
        <f>IFERROR(IF(COUNTIF(INDEX(#REF!,A306),"*Other scientific*")&gt;0,IF(OR(IFERROR(MATCH("*PhD*",#REF!,0),0)&gt;0,IFERROR(MATCH("*PostDoc*",#REF!,0),0)&gt;0),"",$B$140),""),"")</f>
        <v/>
      </c>
      <c r="R306" s="113" t="str">
        <f>IFERROR(IF(COUNTIF(INDEX(#REF!,A306),"*Other scientific*")&gt;0,IF(Total_OSP&gt;pers_max_OSP,$B$141,""),""),"")</f>
        <v/>
      </c>
      <c r="S306" s="113" t="str">
        <f>IFERROR(IF(COUNTIF(INDEX(#REF!,A306),"*Other scientific*")&gt;0,IF(INDEX(#REF!,A306)*INDEX(#REF!,A306)&lt;pers_OSP_min_months,$B$142,""),""),"")</f>
        <v/>
      </c>
      <c r="T306" s="113" t="str">
        <f>IFERROR(IF(COUNTIF(INDEX(#REF!,A306),"*Other scientific*")&gt;0,IF(INDEX(#REF!,A306)*INDEX(#REF!,A306)&gt;pers_OSP_max_months,$B$143,""),""),"")</f>
        <v/>
      </c>
      <c r="U306" s="113" t="str">
        <f>IFERROR(IF(COUNTIF(INDEX(#REF!,A306),"*leave*")&gt;0,IF(Total_Research_leave&gt;pers_leave_maxperc*Total_NWO_funding,$B$144,""),""),"")</f>
        <v/>
      </c>
      <c r="V306" s="113" t="str">
        <f>IFERROR(IF(COUNTIF(INDEX(#REF!,A306),"*leave*")&gt;0,IF(Research_leave_FTE_months&gt;pers_leave_maxduration,$B$145,""),""),"")</f>
        <v/>
      </c>
      <c r="W306" s="113" t="str">
        <f>IFERROR(IF(AND(INDEX(#REF!,A306)=0,INDEX(salaries_academic[[category]:[1]],MATCH(INDEX(#REF!,A306),salaries_academic[category],0),3)=0),$B$148,""),"")</f>
        <v/>
      </c>
      <c r="X306" s="113" t="e">
        <f>IF(AND(organisation_type="yes",INDEX(#REF!,A306,1)&lt;&gt;"",ISBLANK(INDEX(#REF!,A306,1))),$B$146,"")</f>
        <v>#REF!</v>
      </c>
      <c r="Y306" s="113" t="e">
        <f>IF(AND(organisation_name="yes",INDEX(#REF!,A306,1)&lt;&gt;"",ISBLANK(INDEX(#REF!,A306,1))),$B$147,"")</f>
        <v>#REF!</v>
      </c>
      <c r="Z306" s="113" t="str">
        <f>IFERROR(IF(AND(INDEX(#REF!,A306)&gt;0,INDEX(salaries_academic[[category]:[1]],MATCH(INDEX(#REF!,A306),salaries_academic[category],0),3)&gt;0),$B$149,""),"")</f>
        <v/>
      </c>
    </row>
    <row r="307" spans="1:26" outlineLevel="1" x14ac:dyDescent="0.35">
      <c r="A307" s="113">
        <v>100</v>
      </c>
      <c r="B307" s="113" t="str">
        <f t="array" ref="B307">IFERROR(INDEX(personnel_ac_notes[[#This Row],[Exceeding nr months]:[Costs specified]],1,MATCH(TRUE,LEN(personnel_ac_notes[[#This Row],[Exceeding nr months]:[Costs specified]])&gt;0,0)),"")</f>
        <v/>
      </c>
      <c r="C307" s="113" t="str">
        <f>IFERROR(IF(INDEX(#REF!,A307)&gt;Max_project_duration,$B$128,""),"")</f>
        <v/>
      </c>
      <c r="D307" s="113" t="str">
        <f>IFERROR(IF(AND(LEN(INDEX(#REF!,A307))+LEN(INDEX(#REF!,A307))+LEN(INDEX(#REF!,A307))&gt;0,LEN(INDEX(#REF!,A307-1))+LEN(INDEX(#REF!,A307-1))+LEN(INDEX(#REF!,A307-1))=0),$B$127,""),"")</f>
        <v/>
      </c>
      <c r="E307" s="113" t="str">
        <f>IF(AND(NOT(ISBLANK(INDEX(#REF!,A307))),OR(ISBLANK(INDEX(#REF!,A307)),ISBLANK(INDEX(#REF!,A307)))),VLOOKUP(INDEX(#REF!,A307),salaries_academic[],2,FALSE),"")</f>
        <v/>
      </c>
      <c r="F307" s="113" t="str">
        <f>IFERROR(IF(COUNTIF(INDEX(#REF!,A307),"*- PhD*")&gt;0,IF(INDEX(#REF!,A307)*INDEX(#REF!,A307)&lt;pers_PhD_min_months,$B$129,""),""),"")</f>
        <v/>
      </c>
      <c r="G307" s="113" t="str">
        <f>IFERROR(IF(COUNTIF(INDEX(#REF!,$A307),"*- PhD*")&gt;0,IF(INDEX(#REF!,$A307)*INDEX(#REF!,$A307)&gt;pers_PhD_max_months,$B$130,""),""),"")</f>
        <v/>
      </c>
      <c r="H307" s="113" t="str">
        <f>IFERROR(IF(COUNTIF(INDEX(#REF!,A307),"*year*")&gt;0,IF(INDEX(#REF!,A307)*INDEX(#REF!,A307)&lt;pers_3yPhD_min_months,$B$131,""),""),"")</f>
        <v/>
      </c>
      <c r="I307" s="113" t="str">
        <f>IFERROR(IF(COUNTIF(INDEX(#REF!,A307),"*PDEng*")&gt;0,IF(OR(IFERROR(MATCH("*PhD*",#REF!,0),0)&gt;0,IFERROR(MATCH("*PostDoc*",#REF!,0),0)&gt;0),"",$B$132),""),"")</f>
        <v/>
      </c>
      <c r="J307" s="113" t="str">
        <f>IFERROR(IF(COUNTIF(INDEX(#REF!,A307),"*PDEng*")&gt;0,IF(INDEX(#REF!,A307)*INDEX(#REF!,A307)&gt;pers_PDEng_max_months,$B$133,""),""),"")</f>
        <v/>
      </c>
      <c r="K307" s="113" t="str">
        <f>IFERROR(IF(COUNTIF(INDEX(#REF!,A307),"*PostDoc*")&gt;0,IF(INDEX(#REF!,A307)*INDEX(#REF!,A307)&lt;pers_PD_min_months,$B$134,""),""),"")</f>
        <v/>
      </c>
      <c r="L307" s="113" t="str">
        <f>IFERROR(IF(COUNTIF(INDEX(#REF!,A307),"*PostDoc*")&gt;0,IF(INDEX(#REF!,A307)*INDEX(#REF!,A307)&gt;pers_PD_max_months,$B$135,""),""),"")</f>
        <v/>
      </c>
      <c r="M307" s="113" t="str">
        <f>IFERROR(IF(COUNTIF(INDEX(#REF!,A307),"*Non-scientific*")&gt;0,IF(OR(IFERROR(MATCH("*PhD*",#REF!,0),0)&gt;0,IFERROR(MATCH("*PostDoc*",#REF!,0),0)&gt;0),"",$B$136),""),"")</f>
        <v/>
      </c>
      <c r="N307" s="113" t="str">
        <f>IFERROR(IF(COUNTIF(INDEX(#REF!,A307),"*Non-scientific*")&gt;0,IF(Total_NSP&gt;pers_max_NSP,$B$137,""),""),"")</f>
        <v/>
      </c>
      <c r="O307" s="113" t="str">
        <f>IFERROR(IF(COUNTIF(INDEX(#REF!,A307),"*Non-scientific*")&gt;0,IF(INDEX(#REF!,A307)*INDEX(#REF!,A307)&lt;pers_NSP_min_months,$B$138,""),""),"")</f>
        <v/>
      </c>
      <c r="P307" s="113" t="str">
        <f>IFERROR(IF(COUNTIF(INDEX(#REF!,A307),"*Non-scientific*")&gt;0,IF(INDEX(#REF!,A307)*INDEX(#REF!,A307)&gt;pers_NSP_max_months,$B$139,""),""),"")</f>
        <v/>
      </c>
      <c r="Q307" s="113" t="str">
        <f>IFERROR(IF(COUNTIF(INDEX(#REF!,A307),"*Other scientific*")&gt;0,IF(OR(IFERROR(MATCH("*PhD*",#REF!,0),0)&gt;0,IFERROR(MATCH("*PostDoc*",#REF!,0),0)&gt;0),"",$B$140),""),"")</f>
        <v/>
      </c>
      <c r="R307" s="113" t="str">
        <f>IFERROR(IF(COUNTIF(INDEX(#REF!,A307),"*Other scientific*")&gt;0,IF(Total_OSP&gt;pers_max_OSP,$B$141,""),""),"")</f>
        <v/>
      </c>
      <c r="S307" s="113" t="str">
        <f>IFERROR(IF(COUNTIF(INDEX(#REF!,A307),"*Other scientific*")&gt;0,IF(INDEX(#REF!,A307)*INDEX(#REF!,A307)&lt;pers_OSP_min_months,$B$142,""),""),"")</f>
        <v/>
      </c>
      <c r="T307" s="113" t="str">
        <f>IFERROR(IF(COUNTIF(INDEX(#REF!,A307),"*Other scientific*")&gt;0,IF(INDEX(#REF!,A307)*INDEX(#REF!,A307)&gt;pers_OSP_max_months,$B$143,""),""),"")</f>
        <v/>
      </c>
      <c r="U307" s="113" t="str">
        <f>IFERROR(IF(COUNTIF(INDEX(#REF!,A307),"*leave*")&gt;0,IF(Total_Research_leave&gt;pers_leave_maxperc*Total_NWO_funding,$B$144,""),""),"")</f>
        <v/>
      </c>
      <c r="V307" s="113" t="str">
        <f>IFERROR(IF(COUNTIF(INDEX(#REF!,A307),"*leave*")&gt;0,IF(Research_leave_FTE_months&gt;pers_leave_maxduration,$B$145,""),""),"")</f>
        <v/>
      </c>
      <c r="W307" s="113" t="str">
        <f>IFERROR(IF(AND(INDEX(#REF!,A307)=0,INDEX(salaries_academic[[category]:[1]],MATCH(INDEX(#REF!,A307),salaries_academic[category],0),3)=0),$B$148,""),"")</f>
        <v/>
      </c>
      <c r="X307" s="113" t="e">
        <f>IF(AND(organisation_type="yes",INDEX(#REF!,A307,1)&lt;&gt;"",ISBLANK(INDEX(#REF!,A307,1))),$B$146,"")</f>
        <v>#REF!</v>
      </c>
      <c r="Y307" s="113" t="e">
        <f>IF(AND(organisation_name="yes",INDEX(#REF!,A307,1)&lt;&gt;"",ISBLANK(INDEX(#REF!,A307,1))),$B$147,"")</f>
        <v>#REF!</v>
      </c>
      <c r="Z307" s="113" t="str">
        <f>IFERROR(IF(AND(INDEX(#REF!,A307)&gt;0,INDEX(salaries_academic[[category]:[1]],MATCH(INDEX(#REF!,A307),salaries_academic[category],0),3)&gt;0),$B$149,""),"")</f>
        <v/>
      </c>
    </row>
    <row r="310" spans="1:26" ht="37" collapsed="1" x14ac:dyDescent="0.35">
      <c r="A310" s="142" t="s">
        <v>721</v>
      </c>
    </row>
    <row r="311" spans="1:26" hidden="1" outlineLevel="1" x14ac:dyDescent="0.35">
      <c r="A311" s="180" t="s">
        <v>563</v>
      </c>
      <c r="B311" s="181" t="s">
        <v>576</v>
      </c>
      <c r="C311" s="181" t="s">
        <v>785</v>
      </c>
      <c r="D311" s="181" t="s">
        <v>676</v>
      </c>
      <c r="E311" s="181" t="s">
        <v>677</v>
      </c>
      <c r="F311" s="249" t="s">
        <v>768</v>
      </c>
      <c r="G311" s="249" t="s">
        <v>759</v>
      </c>
      <c r="H311" s="113" t="s">
        <v>52</v>
      </c>
      <c r="I311" s="113" t="s">
        <v>717</v>
      </c>
    </row>
    <row r="312" spans="1:26" hidden="1" outlineLevel="1" x14ac:dyDescent="0.35">
      <c r="A312" s="113">
        <v>1</v>
      </c>
      <c r="B312" s="113" t="str">
        <f t="array" ref="B312">IFERROR(INDEX(personnel_other_inst[[#This Row],[Empty lines]:[Name organisation]],1,MATCH(TRUE,LEN(personnel_other_inst[[#This Row],[Empty lines]:[Name organisation]])&gt;0,0)),"")</f>
        <v/>
      </c>
      <c r="C312" s="113" t="str">
        <f>IFERROR(IF(AND(LEN(INDEX(#REF!,A312))+LEN(INDEX(#REF!,A312))+LEN(INDEX(#REF!,A312))+LEN(INDEX(#REF!,A312))&gt;0,LEN(INDEX(#REF!,A312-1))+LEN(INDEX(#REF!,A312-1))+LEN(INDEX(#REF!,A312-1))+LEN(INDEX(#REF!,A312-1))=0),$B$127,""),"")</f>
        <v/>
      </c>
      <c r="D312" s="113" t="str">
        <f>IFERROR(IF(AND(INDEX(#REF!,A312)="",OR(INDEX(#REF!,A312)&gt;0,INDEX(#REF!,A312)&gt;0,INDEX(#REF!,A312)&gt;0)),$B$152,""),"")</f>
        <v/>
      </c>
      <c r="E312" s="113" t="e">
        <f>SUBSTITUTE(IF(INDEX(#REF!,A312)&gt;IFERROR(INDEX(salaries_other_inst[Max hourly rate],MATCH(INDEX(#REF!,A312),salaries_other_inst[category],0),1),""),$B$153,""),"&lt;&lt;max_hourly_rate&gt;&gt;",TEXT(IFERROR(INDEX(salaries_other_inst[Max hourly rate],MATCH(INDEX(#REF!,A312),salaries_other_inst[category],0),1),""),"€ #"))</f>
        <v>#REF!</v>
      </c>
      <c r="F312" s="113" t="str">
        <f>IFERROR(IF(AND(INDEX(#REF!,A312)&lt;&gt;"",INDEX(#REF!,A312)=0),$B$155,""),"")</f>
        <v/>
      </c>
      <c r="G312" s="113" t="str">
        <f>IFERROR(IF(12*INDEX(#REF!,A312)/INDEX(#REF!,A312)&gt;pers_other_nrhours_year,checks!$B$156,""),"")</f>
        <v/>
      </c>
      <c r="H312" t="e">
        <f>IF(AND(organisation_type="yes",INDEX(#REF!,A312,1)&lt;&gt;"",ISBLANK(INDEX(#REF!,A312,1))),$B$146,"")</f>
        <v>#REF!</v>
      </c>
      <c r="I312" t="e">
        <f>IF(AND(organisation_name="yes",INDEX(#REF!,A312,1)&lt;&gt;"",ISBLANK(INDEX(#REF!,A312,1))),$B$147,"")</f>
        <v>#REF!</v>
      </c>
    </row>
    <row r="313" spans="1:26" hidden="1" outlineLevel="1" x14ac:dyDescent="0.35">
      <c r="A313" s="113">
        <v>2</v>
      </c>
      <c r="B313" s="113" t="str">
        <f t="array" ref="B313">IFERROR(INDEX(personnel_other_inst[[#This Row],[Empty lines]:[Name organisation]],1,MATCH(TRUE,LEN(personnel_other_inst[[#This Row],[Empty lines]:[Name organisation]])&gt;0,0)),"")</f>
        <v/>
      </c>
      <c r="C313" s="113" t="str">
        <f>IFERROR(IF(AND(LEN(INDEX(#REF!,A313))+LEN(INDEX(#REF!,A313))+LEN(INDEX(#REF!,A313))+LEN(INDEX(#REF!,A313))&gt;0,LEN(INDEX(#REF!,A313-1))+LEN(INDEX(#REF!,A313-1))+LEN(INDEX(#REF!,A313-1))+LEN(INDEX(#REF!,A313-1))=0),$B$127,""),"")</f>
        <v/>
      </c>
      <c r="D313" s="113" t="str">
        <f>IFERROR(IF(AND(INDEX(#REF!,A313)="",OR(INDEX(#REF!,A313)&gt;0,INDEX(#REF!,A313)&gt;0,INDEX(#REF!,A313)&gt;0)),$B$152,""),"")</f>
        <v/>
      </c>
      <c r="E313" s="113" t="e">
        <f>SUBSTITUTE(IF(INDEX(#REF!,A313)&gt;IFERROR(INDEX(salaries_other_inst[Max hourly rate],MATCH(INDEX(#REF!,A313),salaries_other_inst[category],0),1),""),$B$153,""),"&lt;&lt;max_hourly_rate&gt;&gt;",TEXT(IFERROR(INDEX(salaries_other_inst[Max hourly rate],MATCH(INDEX(#REF!,A313),salaries_other_inst[category],0),1),""),"€ #"))</f>
        <v>#REF!</v>
      </c>
      <c r="F313" s="113" t="str">
        <f>IFERROR(IF(AND(INDEX(#REF!,A313)&lt;&gt;"",INDEX(#REF!,A313)=0),$B$155,""),"")</f>
        <v/>
      </c>
      <c r="G313" s="113" t="str">
        <f>IFERROR(IF(12*INDEX(#REF!,A313)/INDEX(#REF!,A313)&gt;pers_other_nrhours_year,checks!$B$156,""),"")</f>
        <v/>
      </c>
      <c r="H313" t="e">
        <f>IF(AND(organisation_type="yes",INDEX(#REF!,A313,1)&lt;&gt;"",ISBLANK(INDEX(#REF!,A313,1))),$B$146,"")</f>
        <v>#REF!</v>
      </c>
      <c r="I313" t="e">
        <f>IF(AND(organisation_name="yes",INDEX(#REF!,A313,1)&lt;&gt;"",ISBLANK(INDEX(#REF!,A313,1))),$B$147,"")</f>
        <v>#REF!</v>
      </c>
    </row>
    <row r="314" spans="1:26" hidden="1" outlineLevel="1" x14ac:dyDescent="0.35">
      <c r="A314" s="113">
        <v>3</v>
      </c>
      <c r="B314" s="113" t="str">
        <f t="array" ref="B314">IFERROR(INDEX(personnel_other_inst[[#This Row],[Empty lines]:[Name organisation]],1,MATCH(TRUE,LEN(personnel_other_inst[[#This Row],[Empty lines]:[Name organisation]])&gt;0,0)),"")</f>
        <v/>
      </c>
      <c r="C314" s="113" t="str">
        <f>IFERROR(IF(AND(LEN(INDEX(#REF!,A314))+LEN(INDEX(#REF!,A314))+LEN(INDEX(#REF!,A314))+LEN(INDEX(#REF!,A314))&gt;0,LEN(INDEX(#REF!,A314-1))+LEN(INDEX(#REF!,A314-1))+LEN(INDEX(#REF!,A314-1))+LEN(INDEX(#REF!,A314-1))=0),$B$127,""),"")</f>
        <v/>
      </c>
      <c r="D314" s="113" t="str">
        <f>IFERROR(IF(AND(INDEX(#REF!,A314)="",OR(INDEX(#REF!,A314)&gt;0,INDEX(#REF!,A314)&gt;0,INDEX(#REF!,A314)&gt;0)),$B$152,""),"")</f>
        <v/>
      </c>
      <c r="E314" s="113" t="e">
        <f>SUBSTITUTE(IF(INDEX(#REF!,A314)&gt;IFERROR(INDEX(salaries_other_inst[Max hourly rate],MATCH(INDEX(#REF!,A314),salaries_other_inst[category],0),1),""),$B$153,""),"&lt;&lt;max_hourly_rate&gt;&gt;",TEXT(IFERROR(INDEX(salaries_other_inst[Max hourly rate],MATCH(INDEX(#REF!,A314),salaries_other_inst[category],0),1),""),"€ #"))</f>
        <v>#REF!</v>
      </c>
      <c r="F314" s="113" t="str">
        <f>IFERROR(IF(AND(INDEX(#REF!,A314)&lt;&gt;"",INDEX(#REF!,A314)=0),$B$155,""),"")</f>
        <v/>
      </c>
      <c r="G314" s="113" t="str">
        <f>IFERROR(IF(12*INDEX(#REF!,A314)/INDEX(#REF!,A314)&gt;pers_other_nrhours_year,checks!$B$156,""),"")</f>
        <v/>
      </c>
      <c r="H314" t="e">
        <f>IF(AND(organisation_type="yes",INDEX(#REF!,A314,1)&lt;&gt;"",ISBLANK(INDEX(#REF!,A314,1))),$B$146,"")</f>
        <v>#REF!</v>
      </c>
      <c r="I314" t="e">
        <f>IF(AND(organisation_name="yes",INDEX(#REF!,A314,1)&lt;&gt;"",ISBLANK(INDEX(#REF!,A314,1))),$B$147,"")</f>
        <v>#REF!</v>
      </c>
    </row>
    <row r="315" spans="1:26" hidden="1" outlineLevel="1" x14ac:dyDescent="0.35">
      <c r="A315" s="113">
        <v>4</v>
      </c>
      <c r="B315" s="113" t="str">
        <f t="array" ref="B315">IFERROR(INDEX(personnel_other_inst[[#This Row],[Empty lines]:[Name organisation]],1,MATCH(TRUE,LEN(personnel_other_inst[[#This Row],[Empty lines]:[Name organisation]])&gt;0,0)),"")</f>
        <v/>
      </c>
      <c r="C315" s="113" t="str">
        <f>IFERROR(IF(AND(LEN(INDEX(#REF!,A315))+LEN(INDEX(#REF!,A315))+LEN(INDEX(#REF!,A315))+LEN(INDEX(#REF!,A315))&gt;0,LEN(INDEX(#REF!,A315-1))+LEN(INDEX(#REF!,A315-1))+LEN(INDEX(#REF!,A315-1))+LEN(INDEX(#REF!,A315-1))=0),$B$127,""),"")</f>
        <v/>
      </c>
      <c r="D315" s="113" t="str">
        <f>IFERROR(IF(AND(INDEX(#REF!,A315)="",OR(INDEX(#REF!,A315)&gt;0,INDEX(#REF!,A315)&gt;0,INDEX(#REF!,A315)&gt;0)),$B$152,""),"")</f>
        <v/>
      </c>
      <c r="E315" s="113" t="e">
        <f>SUBSTITUTE(IF(INDEX(#REF!,A315)&gt;IFERROR(INDEX(salaries_other_inst[Max hourly rate],MATCH(INDEX(#REF!,A315),salaries_other_inst[category],0),1),""),$B$153,""),"&lt;&lt;max_hourly_rate&gt;&gt;",TEXT(IFERROR(INDEX(salaries_other_inst[Max hourly rate],MATCH(INDEX(#REF!,A315),salaries_other_inst[category],0),1),""),"€ #"))</f>
        <v>#REF!</v>
      </c>
      <c r="F315" s="113" t="str">
        <f>IFERROR(IF(AND(INDEX(#REF!,A315)&lt;&gt;"",INDEX(#REF!,A315)=0),$B$155,""),"")</f>
        <v/>
      </c>
      <c r="G315" s="113" t="str">
        <f>IFERROR(IF(12*INDEX(#REF!,A315)/INDEX(#REF!,A315)&gt;pers_other_nrhours_year,checks!$B$156,""),"")</f>
        <v/>
      </c>
      <c r="H315" t="e">
        <f>IF(AND(organisation_type="yes",INDEX(#REF!,A315,1)&lt;&gt;"",ISBLANK(INDEX(#REF!,A315,1))),$B$146,"")</f>
        <v>#REF!</v>
      </c>
      <c r="I315" t="e">
        <f>IF(AND(organisation_name="yes",INDEX(#REF!,A315,1)&lt;&gt;"",ISBLANK(INDEX(#REF!,A315,1))),$B$147,"")</f>
        <v>#REF!</v>
      </c>
    </row>
    <row r="316" spans="1:26" hidden="1" outlineLevel="1" x14ac:dyDescent="0.35">
      <c r="A316" s="113">
        <v>5</v>
      </c>
      <c r="B316" s="113" t="str">
        <f t="array" ref="B316">IFERROR(INDEX(personnel_other_inst[[#This Row],[Empty lines]:[Name organisation]],1,MATCH(TRUE,LEN(personnel_other_inst[[#This Row],[Empty lines]:[Name organisation]])&gt;0,0)),"")</f>
        <v/>
      </c>
      <c r="C316" s="113" t="str">
        <f>IFERROR(IF(AND(LEN(INDEX(#REF!,A316))+LEN(INDEX(#REF!,A316))+LEN(INDEX(#REF!,A316))+LEN(INDEX(#REF!,A316))&gt;0,LEN(INDEX(#REF!,A316-1))+LEN(INDEX(#REF!,A316-1))+LEN(INDEX(#REF!,A316-1))+LEN(INDEX(#REF!,A316-1))=0),$B$127,""),"")</f>
        <v/>
      </c>
      <c r="D316" s="113" t="str">
        <f>IFERROR(IF(AND(INDEX(#REF!,A316)="",OR(INDEX(#REF!,A316)&gt;0,INDEX(#REF!,A316)&gt;0,INDEX(#REF!,A316)&gt;0)),$B$152,""),"")</f>
        <v/>
      </c>
      <c r="E316" s="113" t="e">
        <f>SUBSTITUTE(IF(INDEX(#REF!,A316)&gt;IFERROR(INDEX(salaries_other_inst[Max hourly rate],MATCH(INDEX(#REF!,A316),salaries_other_inst[category],0),1),""),$B$153,""),"&lt;&lt;max_hourly_rate&gt;&gt;",TEXT(IFERROR(INDEX(salaries_other_inst[Max hourly rate],MATCH(INDEX(#REF!,A316),salaries_other_inst[category],0),1),""),"€ #"))</f>
        <v>#REF!</v>
      </c>
      <c r="F316" s="113" t="str">
        <f>IFERROR(IF(AND(INDEX(#REF!,A316)&lt;&gt;"",INDEX(#REF!,A316)=0),$B$155,""),"")</f>
        <v/>
      </c>
      <c r="G316" s="113" t="str">
        <f>IFERROR(IF(12*INDEX(#REF!,A316)/INDEX(#REF!,A316)&gt;pers_other_nrhours_year,checks!$B$156,""),"")</f>
        <v/>
      </c>
      <c r="H316" t="e">
        <f>IF(AND(organisation_type="yes",INDEX(#REF!,A316,1)&lt;&gt;"",ISBLANK(INDEX(#REF!,A316,1))),$B$146,"")</f>
        <v>#REF!</v>
      </c>
      <c r="I316" t="e">
        <f>IF(AND(organisation_name="yes",INDEX(#REF!,A316,1)&lt;&gt;"",ISBLANK(INDEX(#REF!,A316,1))),$B$147,"")</f>
        <v>#REF!</v>
      </c>
    </row>
    <row r="317" spans="1:26" hidden="1" outlineLevel="1" x14ac:dyDescent="0.35">
      <c r="A317" s="113">
        <v>6</v>
      </c>
      <c r="B317" s="113" t="str">
        <f t="array" ref="B317">IFERROR(INDEX(personnel_other_inst[[#This Row],[Empty lines]:[Name organisation]],1,MATCH(TRUE,LEN(personnel_other_inst[[#This Row],[Empty lines]:[Name organisation]])&gt;0,0)),"")</f>
        <v/>
      </c>
      <c r="C317" s="113" t="str">
        <f>IFERROR(IF(AND(LEN(INDEX(#REF!,A317))+LEN(INDEX(#REF!,A317))+LEN(INDEX(#REF!,A317))+LEN(INDEX(#REF!,A317))&gt;0,LEN(INDEX(#REF!,A317-1))+LEN(INDEX(#REF!,A317-1))+LEN(INDEX(#REF!,A317-1))+LEN(INDEX(#REF!,A317-1))=0),$B$127,""),"")</f>
        <v/>
      </c>
      <c r="D317" s="113" t="str">
        <f>IFERROR(IF(AND(INDEX(#REF!,A317)="",OR(INDEX(#REF!,A317)&gt;0,INDEX(#REF!,A317)&gt;0,INDEX(#REF!,A317)&gt;0)),$B$152,""),"")</f>
        <v/>
      </c>
      <c r="E317" s="113" t="e">
        <f>SUBSTITUTE(IF(INDEX(#REF!,A317)&gt;IFERROR(INDEX(salaries_other_inst[Max hourly rate],MATCH(INDEX(#REF!,A317),salaries_other_inst[category],0),1),""),$B$153,""),"&lt;&lt;max_hourly_rate&gt;&gt;",TEXT(IFERROR(INDEX(salaries_other_inst[Max hourly rate],MATCH(INDEX(#REF!,A317),salaries_other_inst[category],0),1),""),"€ #"))</f>
        <v>#REF!</v>
      </c>
      <c r="F317" s="113" t="str">
        <f>IFERROR(IF(AND(INDEX(#REF!,A317)&lt;&gt;"",INDEX(#REF!,A317)=0),$B$155,""),"")</f>
        <v/>
      </c>
      <c r="G317" s="113" t="str">
        <f>IFERROR(IF(12*INDEX(#REF!,A317)/INDEX(#REF!,A317)&gt;pers_other_nrhours_year,checks!$B$156,""),"")</f>
        <v/>
      </c>
      <c r="H317" t="e">
        <f>IF(AND(organisation_type="yes",INDEX(#REF!,A317,1)&lt;&gt;"",ISBLANK(INDEX(#REF!,A317,1))),$B$146,"")</f>
        <v>#REF!</v>
      </c>
      <c r="I317" t="e">
        <f>IF(AND(organisation_name="yes",INDEX(#REF!,A317,1)&lt;&gt;"",ISBLANK(INDEX(#REF!,A317,1))),$B$147,"")</f>
        <v>#REF!</v>
      </c>
    </row>
    <row r="318" spans="1:26" hidden="1" outlineLevel="1" x14ac:dyDescent="0.35">
      <c r="A318" s="113">
        <v>7</v>
      </c>
      <c r="B318" s="113" t="str">
        <f t="array" ref="B318">IFERROR(INDEX(personnel_other_inst[[#This Row],[Empty lines]:[Name organisation]],1,MATCH(TRUE,LEN(personnel_other_inst[[#This Row],[Empty lines]:[Name organisation]])&gt;0,0)),"")</f>
        <v/>
      </c>
      <c r="C318" s="113" t="str">
        <f>IFERROR(IF(AND(LEN(INDEX(#REF!,A318))+LEN(INDEX(#REF!,A318))+LEN(INDEX(#REF!,A318))+LEN(INDEX(#REF!,A318))&gt;0,LEN(INDEX(#REF!,A318-1))+LEN(INDEX(#REF!,A318-1))+LEN(INDEX(#REF!,A318-1))+LEN(INDEX(#REF!,A318-1))=0),$B$127,""),"")</f>
        <v/>
      </c>
      <c r="D318" s="113" t="str">
        <f>IFERROR(IF(AND(INDEX(#REF!,A318)="",OR(INDEX(#REF!,A318)&gt;0,INDEX(#REF!,A318)&gt;0,INDEX(#REF!,A318)&gt;0)),$B$152,""),"")</f>
        <v/>
      </c>
      <c r="E318" s="113" t="e">
        <f>SUBSTITUTE(IF(INDEX(#REF!,A318)&gt;IFERROR(INDEX(salaries_other_inst[Max hourly rate],MATCH(INDEX(#REF!,A318),salaries_other_inst[category],0),1),""),$B$153,""),"&lt;&lt;max_hourly_rate&gt;&gt;",TEXT(IFERROR(INDEX(salaries_other_inst[Max hourly rate],MATCH(INDEX(#REF!,A318),salaries_other_inst[category],0),1),""),"€ #"))</f>
        <v>#REF!</v>
      </c>
      <c r="F318" s="113" t="str">
        <f>IFERROR(IF(AND(INDEX(#REF!,A318)&lt;&gt;"",INDEX(#REF!,A318)=0),$B$155,""),"")</f>
        <v/>
      </c>
      <c r="G318" s="113" t="str">
        <f>IFERROR(IF(12*INDEX(#REF!,A318)/INDEX(#REF!,A318)&gt;pers_other_nrhours_year,checks!$B$156,""),"")</f>
        <v/>
      </c>
      <c r="H318" t="e">
        <f>IF(AND(organisation_type="yes",INDEX(#REF!,A318,1)&lt;&gt;"",ISBLANK(INDEX(#REF!,A318,1))),$B$146,"")</f>
        <v>#REF!</v>
      </c>
      <c r="I318" t="e">
        <f>IF(AND(organisation_name="yes",INDEX(#REF!,A318,1)&lt;&gt;"",ISBLANK(INDEX(#REF!,A318,1))),$B$147,"")</f>
        <v>#REF!</v>
      </c>
    </row>
    <row r="319" spans="1:26" hidden="1" outlineLevel="1" x14ac:dyDescent="0.35">
      <c r="A319" s="113">
        <v>8</v>
      </c>
      <c r="B319" s="113" t="str">
        <f t="array" ref="B319">IFERROR(INDEX(personnel_other_inst[[#This Row],[Empty lines]:[Name organisation]],1,MATCH(TRUE,LEN(personnel_other_inst[[#This Row],[Empty lines]:[Name organisation]])&gt;0,0)),"")</f>
        <v/>
      </c>
      <c r="C319" s="113" t="str">
        <f>IFERROR(IF(AND(LEN(INDEX(#REF!,A319))+LEN(INDEX(#REF!,A319))+LEN(INDEX(#REF!,A319))+LEN(INDEX(#REF!,A319))&gt;0,LEN(INDEX(#REF!,A319-1))+LEN(INDEX(#REF!,A319-1))+LEN(INDEX(#REF!,A319-1))+LEN(INDEX(#REF!,A319-1))=0),$B$127,""),"")</f>
        <v/>
      </c>
      <c r="D319" s="113" t="str">
        <f>IFERROR(IF(AND(INDEX(#REF!,A319)="",OR(INDEX(#REF!,A319)&gt;0,INDEX(#REF!,A319)&gt;0,INDEX(#REF!,A319)&gt;0)),$B$152,""),"")</f>
        <v/>
      </c>
      <c r="E319" s="113" t="e">
        <f>SUBSTITUTE(IF(INDEX(#REF!,A319)&gt;IFERROR(INDEX(salaries_other_inst[Max hourly rate],MATCH(INDEX(#REF!,A319),salaries_other_inst[category],0),1),""),$B$153,""),"&lt;&lt;max_hourly_rate&gt;&gt;",TEXT(IFERROR(INDEX(salaries_other_inst[Max hourly rate],MATCH(INDEX(#REF!,A319),salaries_other_inst[category],0),1),""),"€ #"))</f>
        <v>#REF!</v>
      </c>
      <c r="F319" s="113" t="str">
        <f>IFERROR(IF(AND(INDEX(#REF!,A319)&lt;&gt;"",INDEX(#REF!,A319)=0),$B$155,""),"")</f>
        <v/>
      </c>
      <c r="G319" s="113" t="str">
        <f>IFERROR(IF(12*INDEX(#REF!,A319)/INDEX(#REF!,A319)&gt;pers_other_nrhours_year,checks!$B$156,""),"")</f>
        <v/>
      </c>
      <c r="H319" t="e">
        <f>IF(AND(organisation_type="yes",INDEX(#REF!,A319,1)&lt;&gt;"",ISBLANK(INDEX(#REF!,A319,1))),$B$146,"")</f>
        <v>#REF!</v>
      </c>
      <c r="I319" t="e">
        <f>IF(AND(organisation_name="yes",INDEX(#REF!,A319,1)&lt;&gt;"",ISBLANK(INDEX(#REF!,A319,1))),$B$147,"")</f>
        <v>#REF!</v>
      </c>
    </row>
    <row r="320" spans="1:26" hidden="1" outlineLevel="1" x14ac:dyDescent="0.35">
      <c r="A320" s="113">
        <v>9</v>
      </c>
      <c r="B320" s="113" t="str">
        <f t="array" ref="B320">IFERROR(INDEX(personnel_other_inst[[#This Row],[Empty lines]:[Name organisation]],1,MATCH(TRUE,LEN(personnel_other_inst[[#This Row],[Empty lines]:[Name organisation]])&gt;0,0)),"")</f>
        <v/>
      </c>
      <c r="C320" s="113" t="str">
        <f>IFERROR(IF(AND(LEN(INDEX(#REF!,A320))+LEN(INDEX(#REF!,A320))+LEN(INDEX(#REF!,A320))+LEN(INDEX(#REF!,A320))&gt;0,LEN(INDEX(#REF!,A320-1))+LEN(INDEX(#REF!,A320-1))+LEN(INDEX(#REF!,A320-1))+LEN(INDEX(#REF!,A320-1))=0),$B$127,""),"")</f>
        <v/>
      </c>
      <c r="D320" s="113" t="str">
        <f>IFERROR(IF(AND(INDEX(#REF!,A320)="",OR(INDEX(#REF!,A320)&gt;0,INDEX(#REF!,A320)&gt;0,INDEX(#REF!,A320)&gt;0)),$B$152,""),"")</f>
        <v/>
      </c>
      <c r="E320" s="113" t="e">
        <f>SUBSTITUTE(IF(INDEX(#REF!,A320)&gt;IFERROR(INDEX(salaries_other_inst[Max hourly rate],MATCH(INDEX(#REF!,A320),salaries_other_inst[category],0),1),""),$B$153,""),"&lt;&lt;max_hourly_rate&gt;&gt;",TEXT(IFERROR(INDEX(salaries_other_inst[Max hourly rate],MATCH(INDEX(#REF!,A320),salaries_other_inst[category],0),1),""),"€ #"))</f>
        <v>#REF!</v>
      </c>
      <c r="F320" s="113" t="str">
        <f>IFERROR(IF(AND(INDEX(#REF!,A320)&lt;&gt;"",INDEX(#REF!,A320)=0),$B$155,""),"")</f>
        <v/>
      </c>
      <c r="G320" s="113" t="str">
        <f>IFERROR(IF(12*INDEX(#REF!,A320)/INDEX(#REF!,A320)&gt;pers_other_nrhours_year,checks!$B$156,""),"")</f>
        <v/>
      </c>
      <c r="H320" t="e">
        <f>IF(AND(organisation_type="yes",INDEX(#REF!,A320,1)&lt;&gt;"",ISBLANK(INDEX(#REF!,A320,1))),$B$146,"")</f>
        <v>#REF!</v>
      </c>
      <c r="I320" t="e">
        <f>IF(AND(organisation_name="yes",INDEX(#REF!,A320,1)&lt;&gt;"",ISBLANK(INDEX(#REF!,A320,1))),$B$147,"")</f>
        <v>#REF!</v>
      </c>
    </row>
    <row r="321" spans="1:9" hidden="1" outlineLevel="1" x14ac:dyDescent="0.35">
      <c r="A321" s="113">
        <v>10</v>
      </c>
      <c r="B321" s="113" t="str">
        <f t="array" ref="B321">IFERROR(INDEX(personnel_other_inst[[#This Row],[Empty lines]:[Name organisation]],1,MATCH(TRUE,LEN(personnel_other_inst[[#This Row],[Empty lines]:[Name organisation]])&gt;0,0)),"")</f>
        <v/>
      </c>
      <c r="C321" s="113" t="str">
        <f>IFERROR(IF(AND(LEN(INDEX(#REF!,A321))+LEN(INDEX(#REF!,A321))+LEN(INDEX(#REF!,A321))+LEN(INDEX(#REF!,A321))&gt;0,LEN(INDEX(#REF!,A321-1))+LEN(INDEX(#REF!,A321-1))+LEN(INDEX(#REF!,A321-1))+LEN(INDEX(#REF!,A321-1))=0),$B$127,""),"")</f>
        <v/>
      </c>
      <c r="D321" s="113" t="str">
        <f>IFERROR(IF(AND(INDEX(#REF!,A321)="",OR(INDEX(#REF!,A321)&gt;0,INDEX(#REF!,A321)&gt;0,INDEX(#REF!,A321)&gt;0)),$B$152,""),"")</f>
        <v/>
      </c>
      <c r="E321" s="113" t="e">
        <f>SUBSTITUTE(IF(INDEX(#REF!,A321)&gt;IFERROR(INDEX(salaries_other_inst[Max hourly rate],MATCH(INDEX(#REF!,A321),salaries_other_inst[category],0),1),""),$B$153,""),"&lt;&lt;max_hourly_rate&gt;&gt;",TEXT(IFERROR(INDEX(salaries_other_inst[Max hourly rate],MATCH(INDEX(#REF!,A321),salaries_other_inst[category],0),1),""),"€ #"))</f>
        <v>#REF!</v>
      </c>
      <c r="F321" s="113" t="str">
        <f>IFERROR(IF(AND(INDEX(#REF!,A321)&lt;&gt;"",INDEX(#REF!,A321)=0),$B$155,""),"")</f>
        <v/>
      </c>
      <c r="G321" s="113" t="str">
        <f>IFERROR(IF(12*INDEX(#REF!,A321)/INDEX(#REF!,A321)&gt;pers_other_nrhours_year,checks!$B$156,""),"")</f>
        <v/>
      </c>
      <c r="H321" t="e">
        <f>IF(AND(organisation_type="yes",INDEX(#REF!,A321,1)&lt;&gt;"",ISBLANK(INDEX(#REF!,A321,1))),$B$146,"")</f>
        <v>#REF!</v>
      </c>
      <c r="I321" t="e">
        <f>IF(AND(organisation_name="yes",INDEX(#REF!,A321,1)&lt;&gt;"",ISBLANK(INDEX(#REF!,A321,1))),$B$147,"")</f>
        <v>#REF!</v>
      </c>
    </row>
    <row r="322" spans="1:9" hidden="1" outlineLevel="1" x14ac:dyDescent="0.35">
      <c r="A322" s="113">
        <v>11</v>
      </c>
      <c r="B322" s="113" t="str">
        <f t="array" ref="B322">IFERROR(INDEX(personnel_other_inst[[#This Row],[Empty lines]:[Name organisation]],1,MATCH(TRUE,LEN(personnel_other_inst[[#This Row],[Empty lines]:[Name organisation]])&gt;0,0)),"")</f>
        <v/>
      </c>
      <c r="C322" s="113" t="str">
        <f>IFERROR(IF(AND(LEN(INDEX(#REF!,A322))+LEN(INDEX(#REF!,A322))+LEN(INDEX(#REF!,A322))+LEN(INDEX(#REF!,A322))&gt;0,LEN(INDEX(#REF!,A322-1))+LEN(INDEX(#REF!,A322-1))+LEN(INDEX(#REF!,A322-1))+LEN(INDEX(#REF!,A322-1))=0),$B$127,""),"")</f>
        <v/>
      </c>
      <c r="D322" s="113" t="str">
        <f>IFERROR(IF(AND(INDEX(#REF!,A322)="",OR(INDEX(#REF!,A322)&gt;0,INDEX(#REF!,A322)&gt;0,INDEX(#REF!,A322)&gt;0)),$B$152,""),"")</f>
        <v/>
      </c>
      <c r="E322" s="113" t="e">
        <f>SUBSTITUTE(IF(INDEX(#REF!,A322)&gt;IFERROR(INDEX(salaries_other_inst[Max hourly rate],MATCH(INDEX(#REF!,A322),salaries_other_inst[category],0),1),""),$B$153,""),"&lt;&lt;max_hourly_rate&gt;&gt;",TEXT(IFERROR(INDEX(salaries_other_inst[Max hourly rate],MATCH(INDEX(#REF!,A322),salaries_other_inst[category],0),1),""),"€ #"))</f>
        <v>#REF!</v>
      </c>
      <c r="F322" s="113" t="str">
        <f>IFERROR(IF(AND(INDEX(#REF!,A322)&lt;&gt;"",INDEX(#REF!,A322)=0),$B$155,""),"")</f>
        <v/>
      </c>
      <c r="G322" s="113" t="str">
        <f>IFERROR(IF(12*INDEX(#REF!,A322)/INDEX(#REF!,A322)&gt;pers_other_nrhours_year,checks!$B$156,""),"")</f>
        <v/>
      </c>
      <c r="H322" t="e">
        <f>IF(AND(organisation_type="yes",INDEX(#REF!,A322,1)&lt;&gt;"",ISBLANK(INDEX(#REF!,A322,1))),$B$146,"")</f>
        <v>#REF!</v>
      </c>
      <c r="I322" t="e">
        <f>IF(AND(organisation_name="yes",INDEX(#REF!,A322,1)&lt;&gt;"",ISBLANK(INDEX(#REF!,A322,1))),$B$147,"")</f>
        <v>#REF!</v>
      </c>
    </row>
    <row r="323" spans="1:9" hidden="1" outlineLevel="1" x14ac:dyDescent="0.35">
      <c r="A323" s="113">
        <v>12</v>
      </c>
      <c r="B323" s="113" t="str">
        <f t="array" ref="B323">IFERROR(INDEX(personnel_other_inst[[#This Row],[Empty lines]:[Name organisation]],1,MATCH(TRUE,LEN(personnel_other_inst[[#This Row],[Empty lines]:[Name organisation]])&gt;0,0)),"")</f>
        <v/>
      </c>
      <c r="C323" s="113" t="str">
        <f>IFERROR(IF(AND(LEN(INDEX(#REF!,A323))+LEN(INDEX(#REF!,A323))+LEN(INDEX(#REF!,A323))+LEN(INDEX(#REF!,A323))&gt;0,LEN(INDEX(#REF!,A323-1))+LEN(INDEX(#REF!,A323-1))+LEN(INDEX(#REF!,A323-1))+LEN(INDEX(#REF!,A323-1))=0),$B$127,""),"")</f>
        <v/>
      </c>
      <c r="D323" s="113" t="str">
        <f>IFERROR(IF(AND(INDEX(#REF!,A323)="",OR(INDEX(#REF!,A323)&gt;0,INDEX(#REF!,A323)&gt;0,INDEX(#REF!,A323)&gt;0)),$B$152,""),"")</f>
        <v/>
      </c>
      <c r="E323" s="113" t="e">
        <f>SUBSTITUTE(IF(INDEX(#REF!,A323)&gt;IFERROR(INDEX(salaries_other_inst[Max hourly rate],MATCH(INDEX(#REF!,A323),salaries_other_inst[category],0),1),""),$B$153,""),"&lt;&lt;max_hourly_rate&gt;&gt;",TEXT(IFERROR(INDEX(salaries_other_inst[Max hourly rate],MATCH(INDEX(#REF!,A323),salaries_other_inst[category],0),1),""),"€ #"))</f>
        <v>#REF!</v>
      </c>
      <c r="F323" s="113" t="str">
        <f>IFERROR(IF(AND(INDEX(#REF!,A323)&lt;&gt;"",INDEX(#REF!,A323)=0),$B$155,""),"")</f>
        <v/>
      </c>
      <c r="G323" s="113" t="str">
        <f>IFERROR(IF(12*INDEX(#REF!,A323)/INDEX(#REF!,A323)&gt;pers_other_nrhours_year,checks!$B$156,""),"")</f>
        <v/>
      </c>
      <c r="H323" t="e">
        <f>IF(AND(organisation_type="yes",INDEX(#REF!,A323,1)&lt;&gt;"",ISBLANK(INDEX(#REF!,A323,1))),$B$146,"")</f>
        <v>#REF!</v>
      </c>
      <c r="I323" t="e">
        <f>IF(AND(organisation_name="yes",INDEX(#REF!,A323,1)&lt;&gt;"",ISBLANK(INDEX(#REF!,A323,1))),$B$147,"")</f>
        <v>#REF!</v>
      </c>
    </row>
    <row r="324" spans="1:9" hidden="1" outlineLevel="1" x14ac:dyDescent="0.35">
      <c r="A324" s="113">
        <v>13</v>
      </c>
      <c r="B324" s="113" t="str">
        <f t="array" ref="B324">IFERROR(INDEX(personnel_other_inst[[#This Row],[Empty lines]:[Name organisation]],1,MATCH(TRUE,LEN(personnel_other_inst[[#This Row],[Empty lines]:[Name organisation]])&gt;0,0)),"")</f>
        <v/>
      </c>
      <c r="C324" s="113" t="str">
        <f>IFERROR(IF(AND(LEN(INDEX(#REF!,A324))+LEN(INDEX(#REF!,A324))+LEN(INDEX(#REF!,A324))+LEN(INDEX(#REF!,A324))&gt;0,LEN(INDEX(#REF!,A324-1))+LEN(INDEX(#REF!,A324-1))+LEN(INDEX(#REF!,A324-1))+LEN(INDEX(#REF!,A324-1))=0),$B$127,""),"")</f>
        <v/>
      </c>
      <c r="D324" s="113" t="str">
        <f>IFERROR(IF(AND(INDEX(#REF!,A324)="",OR(INDEX(#REF!,A324)&gt;0,INDEX(#REF!,A324)&gt;0,INDEX(#REF!,A324)&gt;0)),$B$152,""),"")</f>
        <v/>
      </c>
      <c r="E324" s="113" t="e">
        <f>SUBSTITUTE(IF(INDEX(#REF!,A324)&gt;IFERROR(INDEX(salaries_other_inst[Max hourly rate],MATCH(INDEX(#REF!,A324),salaries_other_inst[category],0),1),""),$B$153,""),"&lt;&lt;max_hourly_rate&gt;&gt;",TEXT(IFERROR(INDEX(salaries_other_inst[Max hourly rate],MATCH(INDEX(#REF!,A324),salaries_other_inst[category],0),1),""),"€ #"))</f>
        <v>#REF!</v>
      </c>
      <c r="F324" s="113" t="str">
        <f>IFERROR(IF(AND(INDEX(#REF!,A324)&lt;&gt;"",INDEX(#REF!,A324)=0),$B$155,""),"")</f>
        <v/>
      </c>
      <c r="G324" s="113" t="str">
        <f>IFERROR(IF(12*INDEX(#REF!,A324)/INDEX(#REF!,A324)&gt;pers_other_nrhours_year,checks!$B$156,""),"")</f>
        <v/>
      </c>
      <c r="H324" t="e">
        <f>IF(AND(organisation_type="yes",INDEX(#REF!,A324,1)&lt;&gt;"",ISBLANK(INDEX(#REF!,A324,1))),$B$146,"")</f>
        <v>#REF!</v>
      </c>
      <c r="I324" t="e">
        <f>IF(AND(organisation_name="yes",INDEX(#REF!,A324,1)&lt;&gt;"",ISBLANK(INDEX(#REF!,A324,1))),$B$147,"")</f>
        <v>#REF!</v>
      </c>
    </row>
    <row r="325" spans="1:9" hidden="1" outlineLevel="1" x14ac:dyDescent="0.35">
      <c r="A325" s="113">
        <v>14</v>
      </c>
      <c r="B325" s="113" t="str">
        <f t="array" ref="B325">IFERROR(INDEX(personnel_other_inst[[#This Row],[Empty lines]:[Name organisation]],1,MATCH(TRUE,LEN(personnel_other_inst[[#This Row],[Empty lines]:[Name organisation]])&gt;0,0)),"")</f>
        <v/>
      </c>
      <c r="C325" s="113" t="str">
        <f>IFERROR(IF(AND(LEN(INDEX(#REF!,A325))+LEN(INDEX(#REF!,A325))+LEN(INDEX(#REF!,A325))+LEN(INDEX(#REF!,A325))&gt;0,LEN(INDEX(#REF!,A325-1))+LEN(INDEX(#REF!,A325-1))+LEN(INDEX(#REF!,A325-1))+LEN(INDEX(#REF!,A325-1))=0),$B$127,""),"")</f>
        <v/>
      </c>
      <c r="D325" s="113" t="str">
        <f>IFERROR(IF(AND(INDEX(#REF!,A325)="",OR(INDEX(#REF!,A325)&gt;0,INDEX(#REF!,A325)&gt;0,INDEX(#REF!,A325)&gt;0)),$B$152,""),"")</f>
        <v/>
      </c>
      <c r="E325" s="113" t="e">
        <f>SUBSTITUTE(IF(INDEX(#REF!,A325)&gt;IFERROR(INDEX(salaries_other_inst[Max hourly rate],MATCH(INDEX(#REF!,A325),salaries_other_inst[category],0),1),""),$B$153,""),"&lt;&lt;max_hourly_rate&gt;&gt;",TEXT(IFERROR(INDEX(salaries_other_inst[Max hourly rate],MATCH(INDEX(#REF!,A325),salaries_other_inst[category],0),1),""),"€ #"))</f>
        <v>#REF!</v>
      </c>
      <c r="F325" s="113" t="str">
        <f>IFERROR(IF(AND(INDEX(#REF!,A325)&lt;&gt;"",INDEX(#REF!,A325)=0),$B$155,""),"")</f>
        <v/>
      </c>
      <c r="G325" s="113" t="str">
        <f>IFERROR(IF(12*INDEX(#REF!,A325)/INDEX(#REF!,A325)&gt;pers_other_nrhours_year,checks!$B$156,""),"")</f>
        <v/>
      </c>
      <c r="H325" t="e">
        <f>IF(AND(organisation_type="yes",INDEX(#REF!,A325,1)&lt;&gt;"",ISBLANK(INDEX(#REF!,A325,1))),$B$146,"")</f>
        <v>#REF!</v>
      </c>
      <c r="I325" t="e">
        <f>IF(AND(organisation_name="yes",INDEX(#REF!,A325,1)&lt;&gt;"",ISBLANK(INDEX(#REF!,A325,1))),$B$147,"")</f>
        <v>#REF!</v>
      </c>
    </row>
    <row r="326" spans="1:9" hidden="1" outlineLevel="1" x14ac:dyDescent="0.35">
      <c r="A326" s="113">
        <v>15</v>
      </c>
      <c r="B326" s="113" t="str">
        <f t="array" ref="B326">IFERROR(INDEX(personnel_other_inst[[#This Row],[Empty lines]:[Name organisation]],1,MATCH(TRUE,LEN(personnel_other_inst[[#This Row],[Empty lines]:[Name organisation]])&gt;0,0)),"")</f>
        <v/>
      </c>
      <c r="C326" s="113" t="str">
        <f>IFERROR(IF(AND(LEN(INDEX(#REF!,A326))+LEN(INDEX(#REF!,A326))+LEN(INDEX(#REF!,A326))+LEN(INDEX(#REF!,A326))&gt;0,LEN(INDEX(#REF!,A326-1))+LEN(INDEX(#REF!,A326-1))+LEN(INDEX(#REF!,A326-1))+LEN(INDEX(#REF!,A326-1))=0),$B$127,""),"")</f>
        <v/>
      </c>
      <c r="D326" s="113" t="str">
        <f>IFERROR(IF(AND(INDEX(#REF!,A326)="",OR(INDEX(#REF!,A326)&gt;0,INDEX(#REF!,A326)&gt;0,INDEX(#REF!,A326)&gt;0)),$B$152,""),"")</f>
        <v/>
      </c>
      <c r="E326" s="113" t="e">
        <f>SUBSTITUTE(IF(INDEX(#REF!,A326)&gt;IFERROR(INDEX(salaries_other_inst[Max hourly rate],MATCH(INDEX(#REF!,A326),salaries_other_inst[category],0),1),""),$B$153,""),"&lt;&lt;max_hourly_rate&gt;&gt;",TEXT(IFERROR(INDEX(salaries_other_inst[Max hourly rate],MATCH(INDEX(#REF!,A326),salaries_other_inst[category],0),1),""),"€ #"))</f>
        <v>#REF!</v>
      </c>
      <c r="F326" s="113" t="str">
        <f>IFERROR(IF(AND(INDEX(#REF!,A326)&lt;&gt;"",INDEX(#REF!,A326)=0),$B$155,""),"")</f>
        <v/>
      </c>
      <c r="G326" s="113" t="str">
        <f>IFERROR(IF(12*INDEX(#REF!,A326)/INDEX(#REF!,A326)&gt;pers_other_nrhours_year,checks!$B$156,""),"")</f>
        <v/>
      </c>
      <c r="H326" t="e">
        <f>IF(AND(organisation_type="yes",INDEX(#REF!,A326,1)&lt;&gt;"",ISBLANK(INDEX(#REF!,A326,1))),$B$146,"")</f>
        <v>#REF!</v>
      </c>
      <c r="I326" t="e">
        <f>IF(AND(organisation_name="yes",INDEX(#REF!,A326,1)&lt;&gt;"",ISBLANK(INDEX(#REF!,A326,1))),$B$147,"")</f>
        <v>#REF!</v>
      </c>
    </row>
    <row r="327" spans="1:9" hidden="1" outlineLevel="1" x14ac:dyDescent="0.35">
      <c r="A327" s="113">
        <v>16</v>
      </c>
      <c r="B327" s="113" t="str">
        <f t="array" ref="B327">IFERROR(INDEX(personnel_other_inst[[#This Row],[Empty lines]:[Name organisation]],1,MATCH(TRUE,LEN(personnel_other_inst[[#This Row],[Empty lines]:[Name organisation]])&gt;0,0)),"")</f>
        <v/>
      </c>
      <c r="C327" s="113" t="str">
        <f>IFERROR(IF(AND(LEN(INDEX(#REF!,A327))+LEN(INDEX(#REF!,A327))+LEN(INDEX(#REF!,A327))+LEN(INDEX(#REF!,A327))&gt;0,LEN(INDEX(#REF!,A327-1))+LEN(INDEX(#REF!,A327-1))+LEN(INDEX(#REF!,A327-1))+LEN(INDEX(#REF!,A327-1))=0),$B$127,""),"")</f>
        <v/>
      </c>
      <c r="D327" s="113" t="str">
        <f>IFERROR(IF(AND(INDEX(#REF!,A327)="",OR(INDEX(#REF!,A327)&gt;0,INDEX(#REF!,A327)&gt;0,INDEX(#REF!,A327)&gt;0)),$B$152,""),"")</f>
        <v/>
      </c>
      <c r="E327" s="113" t="e">
        <f>SUBSTITUTE(IF(INDEX(#REF!,A327)&gt;IFERROR(INDEX(salaries_other_inst[Max hourly rate],MATCH(INDEX(#REF!,A327),salaries_other_inst[category],0),1),""),$B$153,""),"&lt;&lt;max_hourly_rate&gt;&gt;",TEXT(IFERROR(INDEX(salaries_other_inst[Max hourly rate],MATCH(INDEX(#REF!,A327),salaries_other_inst[category],0),1),""),"€ #"))</f>
        <v>#REF!</v>
      </c>
      <c r="F327" s="113" t="str">
        <f>IFERROR(IF(AND(INDEX(#REF!,A327)&lt;&gt;"",INDEX(#REF!,A327)=0),$B$155,""),"")</f>
        <v/>
      </c>
      <c r="G327" s="113" t="str">
        <f>IFERROR(IF(12*INDEX(#REF!,A327)/INDEX(#REF!,A327)&gt;pers_other_nrhours_year,checks!$B$156,""),"")</f>
        <v/>
      </c>
      <c r="H327" t="e">
        <f>IF(AND(organisation_type="yes",INDEX(#REF!,A327,1)&lt;&gt;"",ISBLANK(INDEX(#REF!,A327,1))),$B$146,"")</f>
        <v>#REF!</v>
      </c>
      <c r="I327" t="e">
        <f>IF(AND(organisation_name="yes",INDEX(#REF!,A327,1)&lt;&gt;"",ISBLANK(INDEX(#REF!,A327,1))),$B$147,"")</f>
        <v>#REF!</v>
      </c>
    </row>
    <row r="328" spans="1:9" hidden="1" outlineLevel="1" x14ac:dyDescent="0.35">
      <c r="A328" s="113">
        <v>17</v>
      </c>
      <c r="B328" s="113" t="str">
        <f t="array" ref="B328">IFERROR(INDEX(personnel_other_inst[[#This Row],[Empty lines]:[Name organisation]],1,MATCH(TRUE,LEN(personnel_other_inst[[#This Row],[Empty lines]:[Name organisation]])&gt;0,0)),"")</f>
        <v/>
      </c>
      <c r="C328" s="113" t="str">
        <f>IFERROR(IF(AND(LEN(INDEX(#REF!,A328))+LEN(INDEX(#REF!,A328))+LEN(INDEX(#REF!,A328))+LEN(INDEX(#REF!,A328))&gt;0,LEN(INDEX(#REF!,A328-1))+LEN(INDEX(#REF!,A328-1))+LEN(INDEX(#REF!,A328-1))+LEN(INDEX(#REF!,A328-1))=0),$B$127,""),"")</f>
        <v/>
      </c>
      <c r="D328" s="113" t="str">
        <f>IFERROR(IF(AND(INDEX(#REF!,A328)="",OR(INDEX(#REF!,A328)&gt;0,INDEX(#REF!,A328)&gt;0,INDEX(#REF!,A328)&gt;0)),$B$152,""),"")</f>
        <v/>
      </c>
      <c r="E328" s="113" t="e">
        <f>SUBSTITUTE(IF(INDEX(#REF!,A328)&gt;IFERROR(INDEX(salaries_other_inst[Max hourly rate],MATCH(INDEX(#REF!,A328),salaries_other_inst[category],0),1),""),$B$153,""),"&lt;&lt;max_hourly_rate&gt;&gt;",TEXT(IFERROR(INDEX(salaries_other_inst[Max hourly rate],MATCH(INDEX(#REF!,A328),salaries_other_inst[category],0),1),""),"€ #"))</f>
        <v>#REF!</v>
      </c>
      <c r="F328" s="113" t="str">
        <f>IFERROR(IF(AND(INDEX(#REF!,A328)&lt;&gt;"",INDEX(#REF!,A328)=0),$B$155,""),"")</f>
        <v/>
      </c>
      <c r="G328" s="113" t="str">
        <f>IFERROR(IF(12*INDEX(#REF!,A328)/INDEX(#REF!,A328)&gt;pers_other_nrhours_year,checks!$B$156,""),"")</f>
        <v/>
      </c>
      <c r="H328" t="e">
        <f>IF(AND(organisation_type="yes",INDEX(#REF!,A328,1)&lt;&gt;"",ISBLANK(INDEX(#REF!,A328,1))),$B$146,"")</f>
        <v>#REF!</v>
      </c>
      <c r="I328" t="e">
        <f>IF(AND(organisation_name="yes",INDEX(#REF!,A328,1)&lt;&gt;"",ISBLANK(INDEX(#REF!,A328,1))),$B$147,"")</f>
        <v>#REF!</v>
      </c>
    </row>
    <row r="329" spans="1:9" hidden="1" outlineLevel="1" x14ac:dyDescent="0.35">
      <c r="A329" s="113">
        <v>18</v>
      </c>
      <c r="B329" s="113" t="str">
        <f t="array" ref="B329">IFERROR(INDEX(personnel_other_inst[[#This Row],[Empty lines]:[Name organisation]],1,MATCH(TRUE,LEN(personnel_other_inst[[#This Row],[Empty lines]:[Name organisation]])&gt;0,0)),"")</f>
        <v/>
      </c>
      <c r="C329" s="113" t="str">
        <f>IFERROR(IF(AND(LEN(INDEX(#REF!,A329))+LEN(INDEX(#REF!,A329))+LEN(INDEX(#REF!,A329))+LEN(INDEX(#REF!,A329))&gt;0,LEN(INDEX(#REF!,A329-1))+LEN(INDEX(#REF!,A329-1))+LEN(INDEX(#REF!,A329-1))+LEN(INDEX(#REF!,A329-1))=0),$B$127,""),"")</f>
        <v/>
      </c>
      <c r="D329" s="113" t="str">
        <f>IFERROR(IF(AND(INDEX(#REF!,A329)="",OR(INDEX(#REF!,A329)&gt;0,INDEX(#REF!,A329)&gt;0,INDEX(#REF!,A329)&gt;0)),$B$152,""),"")</f>
        <v/>
      </c>
      <c r="E329" s="113" t="e">
        <f>SUBSTITUTE(IF(INDEX(#REF!,A329)&gt;IFERROR(INDEX(salaries_other_inst[Max hourly rate],MATCH(INDEX(#REF!,A329),salaries_other_inst[category],0),1),""),$B$153,""),"&lt;&lt;max_hourly_rate&gt;&gt;",TEXT(IFERROR(INDEX(salaries_other_inst[Max hourly rate],MATCH(INDEX(#REF!,A329),salaries_other_inst[category],0),1),""),"€ #"))</f>
        <v>#REF!</v>
      </c>
      <c r="F329" s="113" t="str">
        <f>IFERROR(IF(AND(INDEX(#REF!,A329)&lt;&gt;"",INDEX(#REF!,A329)=0),$B$155,""),"")</f>
        <v/>
      </c>
      <c r="G329" s="113" t="str">
        <f>IFERROR(IF(12*INDEX(#REF!,A329)/INDEX(#REF!,A329)&gt;pers_other_nrhours_year,checks!$B$156,""),"")</f>
        <v/>
      </c>
      <c r="H329" t="e">
        <f>IF(AND(organisation_type="yes",INDEX(#REF!,A329,1)&lt;&gt;"",ISBLANK(INDEX(#REF!,A329,1))),$B$146,"")</f>
        <v>#REF!</v>
      </c>
      <c r="I329" t="e">
        <f>IF(AND(organisation_name="yes",INDEX(#REF!,A329,1)&lt;&gt;"",ISBLANK(INDEX(#REF!,A329,1))),$B$147,"")</f>
        <v>#REF!</v>
      </c>
    </row>
    <row r="330" spans="1:9" hidden="1" outlineLevel="1" x14ac:dyDescent="0.35">
      <c r="A330" s="113">
        <v>19</v>
      </c>
      <c r="B330" s="113" t="str">
        <f t="array" ref="B330">IFERROR(INDEX(personnel_other_inst[[#This Row],[Empty lines]:[Name organisation]],1,MATCH(TRUE,LEN(personnel_other_inst[[#This Row],[Empty lines]:[Name organisation]])&gt;0,0)),"")</f>
        <v/>
      </c>
      <c r="C330" s="113" t="str">
        <f>IFERROR(IF(AND(LEN(INDEX(#REF!,A330))+LEN(INDEX(#REF!,A330))+LEN(INDEX(#REF!,A330))+LEN(INDEX(#REF!,A330))&gt;0,LEN(INDEX(#REF!,A330-1))+LEN(INDEX(#REF!,A330-1))+LEN(INDEX(#REF!,A330-1))+LEN(INDEX(#REF!,A330-1))=0),$B$127,""),"")</f>
        <v/>
      </c>
      <c r="D330" s="113" t="str">
        <f>IFERROR(IF(AND(INDEX(#REF!,A330)="",OR(INDEX(#REF!,A330)&gt;0,INDEX(#REF!,A330)&gt;0,INDEX(#REF!,A330)&gt;0)),$B$152,""),"")</f>
        <v/>
      </c>
      <c r="E330" s="113" t="e">
        <f>SUBSTITUTE(IF(INDEX(#REF!,A330)&gt;IFERROR(INDEX(salaries_other_inst[Max hourly rate],MATCH(INDEX(#REF!,A330),salaries_other_inst[category],0),1),""),$B$153,""),"&lt;&lt;max_hourly_rate&gt;&gt;",TEXT(IFERROR(INDEX(salaries_other_inst[Max hourly rate],MATCH(INDEX(#REF!,A330),salaries_other_inst[category],0),1),""),"€ #"))</f>
        <v>#REF!</v>
      </c>
      <c r="F330" s="113" t="str">
        <f>IFERROR(IF(AND(INDEX(#REF!,A330)&lt;&gt;"",INDEX(#REF!,A330)=0),$B$155,""),"")</f>
        <v/>
      </c>
      <c r="G330" s="113" t="str">
        <f>IFERROR(IF(12*INDEX(#REF!,A330)/INDEX(#REF!,A330)&gt;pers_other_nrhours_year,checks!$B$156,""),"")</f>
        <v/>
      </c>
      <c r="H330" t="e">
        <f>IF(AND(organisation_type="yes",INDEX(#REF!,A330,1)&lt;&gt;"",ISBLANK(INDEX(#REF!,A330,1))),$B$146,"")</f>
        <v>#REF!</v>
      </c>
      <c r="I330" t="e">
        <f>IF(AND(organisation_name="yes",INDEX(#REF!,A330,1)&lt;&gt;"",ISBLANK(INDEX(#REF!,A330,1))),$B$147,"")</f>
        <v>#REF!</v>
      </c>
    </row>
    <row r="331" spans="1:9" hidden="1" outlineLevel="1" x14ac:dyDescent="0.35">
      <c r="A331" s="113">
        <v>20</v>
      </c>
      <c r="B331" s="113" t="str">
        <f t="array" ref="B331">IFERROR(INDEX(personnel_other_inst[[#This Row],[Empty lines]:[Name organisation]],1,MATCH(TRUE,LEN(personnel_other_inst[[#This Row],[Empty lines]:[Name organisation]])&gt;0,0)),"")</f>
        <v/>
      </c>
      <c r="C331" s="113" t="str">
        <f>IFERROR(IF(AND(LEN(INDEX(#REF!,A331))+LEN(INDEX(#REF!,A331))+LEN(INDEX(#REF!,A331))+LEN(INDEX(#REF!,A331))&gt;0,LEN(INDEX(#REF!,A331-1))+LEN(INDEX(#REF!,A331-1))+LEN(INDEX(#REF!,A331-1))+LEN(INDEX(#REF!,A331-1))=0),$B$127,""),"")</f>
        <v/>
      </c>
      <c r="D331" s="113" t="str">
        <f>IFERROR(IF(AND(INDEX(#REF!,A331)="",OR(INDEX(#REF!,A331)&gt;0,INDEX(#REF!,A331)&gt;0,INDEX(#REF!,A331)&gt;0)),$B$152,""),"")</f>
        <v/>
      </c>
      <c r="E331" s="113" t="e">
        <f>SUBSTITUTE(IF(INDEX(#REF!,A331)&gt;IFERROR(INDEX(salaries_other_inst[Max hourly rate],MATCH(INDEX(#REF!,A331),salaries_other_inst[category],0),1),""),$B$153,""),"&lt;&lt;max_hourly_rate&gt;&gt;",TEXT(IFERROR(INDEX(salaries_other_inst[Max hourly rate],MATCH(INDEX(#REF!,A331),salaries_other_inst[category],0),1),""),"€ #"))</f>
        <v>#REF!</v>
      </c>
      <c r="F331" s="113" t="str">
        <f>IFERROR(IF(AND(INDEX(#REF!,A331)&lt;&gt;"",INDEX(#REF!,A331)=0),$B$155,""),"")</f>
        <v/>
      </c>
      <c r="G331" s="113" t="str">
        <f>IFERROR(IF(12*INDEX(#REF!,A331)/INDEX(#REF!,A331)&gt;pers_other_nrhours_year,checks!$B$156,""),"")</f>
        <v/>
      </c>
      <c r="H331" t="e">
        <f>IF(AND(organisation_type="yes",INDEX(#REF!,A331,1)&lt;&gt;"",ISBLANK(INDEX(#REF!,A331,1))),$B$146,"")</f>
        <v>#REF!</v>
      </c>
      <c r="I331" t="e">
        <f>IF(AND(organisation_name="yes",INDEX(#REF!,A331,1)&lt;&gt;"",ISBLANK(INDEX(#REF!,A331,1))),$B$147,"")</f>
        <v>#REF!</v>
      </c>
    </row>
    <row r="332" spans="1:9" hidden="1" outlineLevel="1" x14ac:dyDescent="0.35">
      <c r="A332" s="113">
        <v>21</v>
      </c>
      <c r="B332" s="113" t="str">
        <f t="array" ref="B332">IFERROR(INDEX(personnel_other_inst[[#This Row],[Empty lines]:[Name organisation]],1,MATCH(TRUE,LEN(personnel_other_inst[[#This Row],[Empty lines]:[Name organisation]])&gt;0,0)),"")</f>
        <v/>
      </c>
      <c r="C332" s="113" t="str">
        <f>IFERROR(IF(AND(LEN(INDEX(#REF!,A332))+LEN(INDEX(#REF!,A332))+LEN(INDEX(#REF!,A332))+LEN(INDEX(#REF!,A332))&gt;0,LEN(INDEX(#REF!,A332-1))+LEN(INDEX(#REF!,A332-1))+LEN(INDEX(#REF!,A332-1))+LEN(INDEX(#REF!,A332-1))=0),$B$127,""),"")</f>
        <v/>
      </c>
      <c r="D332" s="113" t="str">
        <f>IFERROR(IF(AND(INDEX(#REF!,A332)="",OR(INDEX(#REF!,A332)&gt;0,INDEX(#REF!,A332)&gt;0,INDEX(#REF!,A332)&gt;0)),$B$152,""),"")</f>
        <v/>
      </c>
      <c r="E332" s="113" t="e">
        <f>SUBSTITUTE(IF(INDEX(#REF!,A332)&gt;IFERROR(INDEX(salaries_other_inst[Max hourly rate],MATCH(INDEX(#REF!,A332),salaries_other_inst[category],0),1),""),$B$153,""),"&lt;&lt;max_hourly_rate&gt;&gt;",TEXT(IFERROR(INDEX(salaries_other_inst[Max hourly rate],MATCH(INDEX(#REF!,A332),salaries_other_inst[category],0),1),""),"€ #"))</f>
        <v>#REF!</v>
      </c>
      <c r="F332" s="113" t="str">
        <f>IFERROR(IF(AND(INDEX(#REF!,A332)&lt;&gt;"",INDEX(#REF!,A332)=0),$B$155,""),"")</f>
        <v/>
      </c>
      <c r="G332" s="113" t="str">
        <f>IFERROR(IF(12*INDEX(#REF!,A332)/INDEX(#REF!,A332)&gt;pers_other_nrhours_year,checks!$B$156,""),"")</f>
        <v/>
      </c>
      <c r="H332" t="e">
        <f>IF(AND(organisation_type="yes",INDEX(#REF!,A332,1)&lt;&gt;"",ISBLANK(INDEX(#REF!,A332,1))),$B$146,"")</f>
        <v>#REF!</v>
      </c>
      <c r="I332" t="e">
        <f>IF(AND(organisation_name="yes",INDEX(#REF!,A332,1)&lt;&gt;"",ISBLANK(INDEX(#REF!,A332,1))),$B$147,"")</f>
        <v>#REF!</v>
      </c>
    </row>
    <row r="333" spans="1:9" hidden="1" outlineLevel="1" x14ac:dyDescent="0.35">
      <c r="A333" s="113">
        <v>22</v>
      </c>
      <c r="B333" s="113" t="str">
        <f t="array" ref="B333">IFERROR(INDEX(personnel_other_inst[[#This Row],[Empty lines]:[Name organisation]],1,MATCH(TRUE,LEN(personnel_other_inst[[#This Row],[Empty lines]:[Name organisation]])&gt;0,0)),"")</f>
        <v/>
      </c>
      <c r="C333" s="113" t="str">
        <f>IFERROR(IF(AND(LEN(INDEX(#REF!,A333))+LEN(INDEX(#REF!,A333))+LEN(INDEX(#REF!,A333))+LEN(INDEX(#REF!,A333))&gt;0,LEN(INDEX(#REF!,A333-1))+LEN(INDEX(#REF!,A333-1))+LEN(INDEX(#REF!,A333-1))+LEN(INDEX(#REF!,A333-1))=0),$B$127,""),"")</f>
        <v/>
      </c>
      <c r="D333" s="113" t="str">
        <f>IFERROR(IF(AND(INDEX(#REF!,A333)="",OR(INDEX(#REF!,A333)&gt;0,INDEX(#REF!,A333)&gt;0,INDEX(#REF!,A333)&gt;0)),$B$152,""),"")</f>
        <v/>
      </c>
      <c r="E333" s="113" t="e">
        <f>SUBSTITUTE(IF(INDEX(#REF!,A333)&gt;IFERROR(INDEX(salaries_other_inst[Max hourly rate],MATCH(INDEX(#REF!,A333),salaries_other_inst[category],0),1),""),$B$153,""),"&lt;&lt;max_hourly_rate&gt;&gt;",TEXT(IFERROR(INDEX(salaries_other_inst[Max hourly rate],MATCH(INDEX(#REF!,A333),salaries_other_inst[category],0),1),""),"€ #"))</f>
        <v>#REF!</v>
      </c>
      <c r="F333" s="113" t="str">
        <f>IFERROR(IF(AND(INDEX(#REF!,A333)&lt;&gt;"",INDEX(#REF!,A333)=0),$B$155,""),"")</f>
        <v/>
      </c>
      <c r="G333" s="113" t="str">
        <f>IFERROR(IF(12*INDEX(#REF!,A333)/INDEX(#REF!,A333)&gt;pers_other_nrhours_year,checks!$B$156,""),"")</f>
        <v/>
      </c>
      <c r="H333" t="e">
        <f>IF(AND(organisation_type="yes",INDEX(#REF!,A333,1)&lt;&gt;"",ISBLANK(INDEX(#REF!,A333,1))),$B$146,"")</f>
        <v>#REF!</v>
      </c>
      <c r="I333" t="e">
        <f>IF(AND(organisation_name="yes",INDEX(#REF!,A333,1)&lt;&gt;"",ISBLANK(INDEX(#REF!,A333,1))),$B$147,"")</f>
        <v>#REF!</v>
      </c>
    </row>
    <row r="334" spans="1:9" hidden="1" outlineLevel="1" x14ac:dyDescent="0.35">
      <c r="A334" s="113">
        <v>23</v>
      </c>
      <c r="B334" s="113" t="str">
        <f t="array" ref="B334">IFERROR(INDEX(personnel_other_inst[[#This Row],[Empty lines]:[Name organisation]],1,MATCH(TRUE,LEN(personnel_other_inst[[#This Row],[Empty lines]:[Name organisation]])&gt;0,0)),"")</f>
        <v/>
      </c>
      <c r="C334" s="113" t="str">
        <f>IFERROR(IF(AND(LEN(INDEX(#REF!,A334))+LEN(INDEX(#REF!,A334))+LEN(INDEX(#REF!,A334))+LEN(INDEX(#REF!,A334))&gt;0,LEN(INDEX(#REF!,A334-1))+LEN(INDEX(#REF!,A334-1))+LEN(INDEX(#REF!,A334-1))+LEN(INDEX(#REF!,A334-1))=0),$B$127,""),"")</f>
        <v/>
      </c>
      <c r="D334" s="113" t="str">
        <f>IFERROR(IF(AND(INDEX(#REF!,A334)="",OR(INDEX(#REF!,A334)&gt;0,INDEX(#REF!,A334)&gt;0,INDEX(#REF!,A334)&gt;0)),$B$152,""),"")</f>
        <v/>
      </c>
      <c r="E334" s="113" t="e">
        <f>SUBSTITUTE(IF(INDEX(#REF!,A334)&gt;IFERROR(INDEX(salaries_other_inst[Max hourly rate],MATCH(INDEX(#REF!,A334),salaries_other_inst[category],0),1),""),$B$153,""),"&lt;&lt;max_hourly_rate&gt;&gt;",TEXT(IFERROR(INDEX(salaries_other_inst[Max hourly rate],MATCH(INDEX(#REF!,A334),salaries_other_inst[category],0),1),""),"€ #"))</f>
        <v>#REF!</v>
      </c>
      <c r="F334" s="113" t="str">
        <f>IFERROR(IF(AND(INDEX(#REF!,A334)&lt;&gt;"",INDEX(#REF!,A334)=0),$B$155,""),"")</f>
        <v/>
      </c>
      <c r="G334" s="113" t="str">
        <f>IFERROR(IF(12*INDEX(#REF!,A334)/INDEX(#REF!,A334)&gt;pers_other_nrhours_year,checks!$B$156,""),"")</f>
        <v/>
      </c>
      <c r="H334" t="e">
        <f>IF(AND(organisation_type="yes",INDEX(#REF!,A334,1)&lt;&gt;"",ISBLANK(INDEX(#REF!,A334,1))),$B$146,"")</f>
        <v>#REF!</v>
      </c>
      <c r="I334" t="e">
        <f>IF(AND(organisation_name="yes",INDEX(#REF!,A334,1)&lt;&gt;"",ISBLANK(INDEX(#REF!,A334,1))),$B$147,"")</f>
        <v>#REF!</v>
      </c>
    </row>
    <row r="335" spans="1:9" hidden="1" outlineLevel="1" x14ac:dyDescent="0.35">
      <c r="A335" s="113">
        <v>24</v>
      </c>
      <c r="B335" s="113" t="str">
        <f t="array" ref="B335">IFERROR(INDEX(personnel_other_inst[[#This Row],[Empty lines]:[Name organisation]],1,MATCH(TRUE,LEN(personnel_other_inst[[#This Row],[Empty lines]:[Name organisation]])&gt;0,0)),"")</f>
        <v/>
      </c>
      <c r="C335" s="113" t="str">
        <f>IFERROR(IF(AND(LEN(INDEX(#REF!,A335))+LEN(INDEX(#REF!,A335))+LEN(INDEX(#REF!,A335))+LEN(INDEX(#REF!,A335))&gt;0,LEN(INDEX(#REF!,A335-1))+LEN(INDEX(#REF!,A335-1))+LEN(INDEX(#REF!,A335-1))+LEN(INDEX(#REF!,A335-1))=0),$B$127,""),"")</f>
        <v/>
      </c>
      <c r="D335" s="113" t="str">
        <f>IFERROR(IF(AND(INDEX(#REF!,A335)="",OR(INDEX(#REF!,A335)&gt;0,INDEX(#REF!,A335)&gt;0,INDEX(#REF!,A335)&gt;0)),$B$152,""),"")</f>
        <v/>
      </c>
      <c r="E335" s="113" t="e">
        <f>SUBSTITUTE(IF(INDEX(#REF!,A335)&gt;IFERROR(INDEX(salaries_other_inst[Max hourly rate],MATCH(INDEX(#REF!,A335),salaries_other_inst[category],0),1),""),$B$153,""),"&lt;&lt;max_hourly_rate&gt;&gt;",TEXT(IFERROR(INDEX(salaries_other_inst[Max hourly rate],MATCH(INDEX(#REF!,A335),salaries_other_inst[category],0),1),""),"€ #"))</f>
        <v>#REF!</v>
      </c>
      <c r="F335" s="113" t="str">
        <f>IFERROR(IF(AND(INDEX(#REF!,A335)&lt;&gt;"",INDEX(#REF!,A335)=0),$B$155,""),"")</f>
        <v/>
      </c>
      <c r="G335" s="113" t="str">
        <f>IFERROR(IF(12*INDEX(#REF!,A335)/INDEX(#REF!,A335)&gt;pers_other_nrhours_year,checks!$B$156,""),"")</f>
        <v/>
      </c>
      <c r="H335" t="e">
        <f>IF(AND(organisation_type="yes",INDEX(#REF!,A335,1)&lt;&gt;"",ISBLANK(INDEX(#REF!,A335,1))),$B$146,"")</f>
        <v>#REF!</v>
      </c>
      <c r="I335" t="e">
        <f>IF(AND(organisation_name="yes",INDEX(#REF!,A335,1)&lt;&gt;"",ISBLANK(INDEX(#REF!,A335,1))),$B$147,"")</f>
        <v>#REF!</v>
      </c>
    </row>
    <row r="336" spans="1:9" hidden="1" outlineLevel="1" x14ac:dyDescent="0.35">
      <c r="A336" s="113">
        <v>25</v>
      </c>
      <c r="B336" s="113" t="str">
        <f t="array" ref="B336">IFERROR(INDEX(personnel_other_inst[[#This Row],[Empty lines]:[Name organisation]],1,MATCH(TRUE,LEN(personnel_other_inst[[#This Row],[Empty lines]:[Name organisation]])&gt;0,0)),"")</f>
        <v/>
      </c>
      <c r="C336" s="113" t="str">
        <f>IFERROR(IF(AND(LEN(INDEX(#REF!,A336))+LEN(INDEX(#REF!,A336))+LEN(INDEX(#REF!,A336))+LEN(INDEX(#REF!,A336))&gt;0,LEN(INDEX(#REF!,A336-1))+LEN(INDEX(#REF!,A336-1))+LEN(INDEX(#REF!,A336-1))+LEN(INDEX(#REF!,A336-1))=0),$B$127,""),"")</f>
        <v/>
      </c>
      <c r="D336" s="113" t="str">
        <f>IFERROR(IF(AND(INDEX(#REF!,A336)="",OR(INDEX(#REF!,A336)&gt;0,INDEX(#REF!,A336)&gt;0,INDEX(#REF!,A336)&gt;0)),$B$152,""),"")</f>
        <v/>
      </c>
      <c r="E336" s="113" t="e">
        <f>SUBSTITUTE(IF(INDEX(#REF!,A336)&gt;IFERROR(INDEX(salaries_other_inst[Max hourly rate],MATCH(INDEX(#REF!,A336),salaries_other_inst[category],0),1),""),$B$153,""),"&lt;&lt;max_hourly_rate&gt;&gt;",TEXT(IFERROR(INDEX(salaries_other_inst[Max hourly rate],MATCH(INDEX(#REF!,A336),salaries_other_inst[category],0),1),""),"€ #"))</f>
        <v>#REF!</v>
      </c>
      <c r="F336" s="113" t="str">
        <f>IFERROR(IF(AND(INDEX(#REF!,A336)&lt;&gt;"",INDEX(#REF!,A336)=0),$B$155,""),"")</f>
        <v/>
      </c>
      <c r="G336" s="113" t="str">
        <f>IFERROR(IF(12*INDEX(#REF!,A336)/INDEX(#REF!,A336)&gt;pers_other_nrhours_year,checks!$B$156,""),"")</f>
        <v/>
      </c>
      <c r="H336" t="e">
        <f>IF(AND(organisation_type="yes",INDEX(#REF!,A336,1)&lt;&gt;"",ISBLANK(INDEX(#REF!,A336,1))),$B$146,"")</f>
        <v>#REF!</v>
      </c>
      <c r="I336" t="e">
        <f>IF(AND(organisation_name="yes",INDEX(#REF!,A336,1)&lt;&gt;"",ISBLANK(INDEX(#REF!,A336,1))),$B$147,"")</f>
        <v>#REF!</v>
      </c>
    </row>
    <row r="337" spans="1:9" hidden="1" outlineLevel="1" x14ac:dyDescent="0.35">
      <c r="A337" s="113">
        <v>26</v>
      </c>
      <c r="B337" s="113" t="str">
        <f t="array" ref="B337">IFERROR(INDEX(personnel_other_inst[[#This Row],[Empty lines]:[Name organisation]],1,MATCH(TRUE,LEN(personnel_other_inst[[#This Row],[Empty lines]:[Name organisation]])&gt;0,0)),"")</f>
        <v/>
      </c>
      <c r="C337" s="113" t="str">
        <f>IFERROR(IF(AND(LEN(INDEX(#REF!,A337))+LEN(INDEX(#REF!,A337))+LEN(INDEX(#REF!,A337))+LEN(INDEX(#REF!,A337))&gt;0,LEN(INDEX(#REF!,A337-1))+LEN(INDEX(#REF!,A337-1))+LEN(INDEX(#REF!,A337-1))+LEN(INDEX(#REF!,A337-1))=0),$B$127,""),"")</f>
        <v/>
      </c>
      <c r="D337" s="113" t="str">
        <f>IFERROR(IF(AND(INDEX(#REF!,A337)="",OR(INDEX(#REF!,A337)&gt;0,INDEX(#REF!,A337)&gt;0,INDEX(#REF!,A337)&gt;0)),$B$152,""),"")</f>
        <v/>
      </c>
      <c r="E337" s="113" t="e">
        <f>SUBSTITUTE(IF(INDEX(#REF!,A337)&gt;IFERROR(INDEX(salaries_other_inst[Max hourly rate],MATCH(INDEX(#REF!,A337),salaries_other_inst[category],0),1),""),$B$153,""),"&lt;&lt;max_hourly_rate&gt;&gt;",TEXT(IFERROR(INDEX(salaries_other_inst[Max hourly rate],MATCH(INDEX(#REF!,A337),salaries_other_inst[category],0),1),""),"€ #"))</f>
        <v>#REF!</v>
      </c>
      <c r="F337" s="113" t="str">
        <f>IFERROR(IF(AND(INDEX(#REF!,A337)&lt;&gt;"",INDEX(#REF!,A337)=0),$B$155,""),"")</f>
        <v/>
      </c>
      <c r="G337" s="113" t="str">
        <f>IFERROR(IF(12*INDEX(#REF!,A337)/INDEX(#REF!,A337)&gt;pers_other_nrhours_year,checks!$B$156,""),"")</f>
        <v/>
      </c>
      <c r="H337" t="e">
        <f>IF(AND(organisation_type="yes",INDEX(#REF!,A337,1)&lt;&gt;"",ISBLANK(INDEX(#REF!,A337,1))),$B$146,"")</f>
        <v>#REF!</v>
      </c>
      <c r="I337" t="e">
        <f>IF(AND(organisation_name="yes",INDEX(#REF!,A337,1)&lt;&gt;"",ISBLANK(INDEX(#REF!,A337,1))),$B$147,"")</f>
        <v>#REF!</v>
      </c>
    </row>
    <row r="338" spans="1:9" hidden="1" outlineLevel="1" x14ac:dyDescent="0.35">
      <c r="A338" s="113">
        <v>27</v>
      </c>
      <c r="B338" s="113" t="str">
        <f t="array" ref="B338">IFERROR(INDEX(personnel_other_inst[[#This Row],[Empty lines]:[Name organisation]],1,MATCH(TRUE,LEN(personnel_other_inst[[#This Row],[Empty lines]:[Name organisation]])&gt;0,0)),"")</f>
        <v/>
      </c>
      <c r="C338" s="113" t="str">
        <f>IFERROR(IF(AND(LEN(INDEX(#REF!,A338))+LEN(INDEX(#REF!,A338))+LEN(INDEX(#REF!,A338))+LEN(INDEX(#REF!,A338))&gt;0,LEN(INDEX(#REF!,A338-1))+LEN(INDEX(#REF!,A338-1))+LEN(INDEX(#REF!,A338-1))+LEN(INDEX(#REF!,A338-1))=0),$B$127,""),"")</f>
        <v/>
      </c>
      <c r="D338" s="113" t="str">
        <f>IFERROR(IF(AND(INDEX(#REF!,A338)="",OR(INDEX(#REF!,A338)&gt;0,INDEX(#REF!,A338)&gt;0,INDEX(#REF!,A338)&gt;0)),$B$152,""),"")</f>
        <v/>
      </c>
      <c r="E338" s="113" t="e">
        <f>SUBSTITUTE(IF(INDEX(#REF!,A338)&gt;IFERROR(INDEX(salaries_other_inst[Max hourly rate],MATCH(INDEX(#REF!,A338),salaries_other_inst[category],0),1),""),$B$153,""),"&lt;&lt;max_hourly_rate&gt;&gt;",TEXT(IFERROR(INDEX(salaries_other_inst[Max hourly rate],MATCH(INDEX(#REF!,A338),salaries_other_inst[category],0),1),""),"€ #"))</f>
        <v>#REF!</v>
      </c>
      <c r="F338" s="113" t="str">
        <f>IFERROR(IF(AND(INDEX(#REF!,A338)&lt;&gt;"",INDEX(#REF!,A338)=0),$B$155,""),"")</f>
        <v/>
      </c>
      <c r="G338" s="113" t="str">
        <f>IFERROR(IF(12*INDEX(#REF!,A338)/INDEX(#REF!,A338)&gt;pers_other_nrhours_year,checks!$B$156,""),"")</f>
        <v/>
      </c>
      <c r="H338" t="e">
        <f>IF(AND(organisation_type="yes",INDEX(#REF!,A338,1)&lt;&gt;"",ISBLANK(INDEX(#REF!,A338,1))),$B$146,"")</f>
        <v>#REF!</v>
      </c>
      <c r="I338" t="e">
        <f>IF(AND(organisation_name="yes",INDEX(#REF!,A338,1)&lt;&gt;"",ISBLANK(INDEX(#REF!,A338,1))),$B$147,"")</f>
        <v>#REF!</v>
      </c>
    </row>
    <row r="339" spans="1:9" hidden="1" outlineLevel="1" x14ac:dyDescent="0.35">
      <c r="A339" s="113">
        <v>28</v>
      </c>
      <c r="B339" s="113" t="str">
        <f t="array" ref="B339">IFERROR(INDEX(personnel_other_inst[[#This Row],[Empty lines]:[Name organisation]],1,MATCH(TRUE,LEN(personnel_other_inst[[#This Row],[Empty lines]:[Name organisation]])&gt;0,0)),"")</f>
        <v/>
      </c>
      <c r="C339" s="113" t="str">
        <f>IFERROR(IF(AND(LEN(INDEX(#REF!,A339))+LEN(INDEX(#REF!,A339))+LEN(INDEX(#REF!,A339))+LEN(INDEX(#REF!,A339))&gt;0,LEN(INDEX(#REF!,A339-1))+LEN(INDEX(#REF!,A339-1))+LEN(INDEX(#REF!,A339-1))+LEN(INDEX(#REF!,A339-1))=0),$B$127,""),"")</f>
        <v/>
      </c>
      <c r="D339" s="113" t="str">
        <f>IFERROR(IF(AND(INDEX(#REF!,A339)="",OR(INDEX(#REF!,A339)&gt;0,INDEX(#REF!,A339)&gt;0,INDEX(#REF!,A339)&gt;0)),$B$152,""),"")</f>
        <v/>
      </c>
      <c r="E339" s="113" t="e">
        <f>SUBSTITUTE(IF(INDEX(#REF!,A339)&gt;IFERROR(INDEX(salaries_other_inst[Max hourly rate],MATCH(INDEX(#REF!,A339),salaries_other_inst[category],0),1),""),$B$153,""),"&lt;&lt;max_hourly_rate&gt;&gt;",TEXT(IFERROR(INDEX(salaries_other_inst[Max hourly rate],MATCH(INDEX(#REF!,A339),salaries_other_inst[category],0),1),""),"€ #"))</f>
        <v>#REF!</v>
      </c>
      <c r="F339" s="113" t="str">
        <f>IFERROR(IF(AND(INDEX(#REF!,A339)&lt;&gt;"",INDEX(#REF!,A339)=0),$B$155,""),"")</f>
        <v/>
      </c>
      <c r="G339" s="113" t="str">
        <f>IFERROR(IF(12*INDEX(#REF!,A339)/INDEX(#REF!,A339)&gt;pers_other_nrhours_year,checks!$B$156,""),"")</f>
        <v/>
      </c>
      <c r="H339" t="e">
        <f>IF(AND(organisation_type="yes",INDEX(#REF!,A339,1)&lt;&gt;"",ISBLANK(INDEX(#REF!,A339,1))),$B$146,"")</f>
        <v>#REF!</v>
      </c>
      <c r="I339" t="e">
        <f>IF(AND(organisation_name="yes",INDEX(#REF!,A339,1)&lt;&gt;"",ISBLANK(INDEX(#REF!,A339,1))),$B$147,"")</f>
        <v>#REF!</v>
      </c>
    </row>
    <row r="340" spans="1:9" hidden="1" outlineLevel="1" x14ac:dyDescent="0.35">
      <c r="A340" s="113">
        <v>29</v>
      </c>
      <c r="B340" s="113" t="str">
        <f t="array" ref="B340">IFERROR(INDEX(personnel_other_inst[[#This Row],[Empty lines]:[Name organisation]],1,MATCH(TRUE,LEN(personnel_other_inst[[#This Row],[Empty lines]:[Name organisation]])&gt;0,0)),"")</f>
        <v/>
      </c>
      <c r="C340" s="113" t="str">
        <f>IFERROR(IF(AND(LEN(INDEX(#REF!,A340))+LEN(INDEX(#REF!,A340))+LEN(INDEX(#REF!,A340))+LEN(INDEX(#REF!,A340))&gt;0,LEN(INDEX(#REF!,A340-1))+LEN(INDEX(#REF!,A340-1))+LEN(INDEX(#REF!,A340-1))+LEN(INDEX(#REF!,A340-1))=0),$B$127,""),"")</f>
        <v/>
      </c>
      <c r="D340" s="113" t="str">
        <f>IFERROR(IF(AND(INDEX(#REF!,A340)="",OR(INDEX(#REF!,A340)&gt;0,INDEX(#REF!,A340)&gt;0,INDEX(#REF!,A340)&gt;0)),$B$152,""),"")</f>
        <v/>
      </c>
      <c r="E340" s="113" t="e">
        <f>SUBSTITUTE(IF(INDEX(#REF!,A340)&gt;IFERROR(INDEX(salaries_other_inst[Max hourly rate],MATCH(INDEX(#REF!,A340),salaries_other_inst[category],0),1),""),$B$153,""),"&lt;&lt;max_hourly_rate&gt;&gt;",TEXT(IFERROR(INDEX(salaries_other_inst[Max hourly rate],MATCH(INDEX(#REF!,A340),salaries_other_inst[category],0),1),""),"€ #"))</f>
        <v>#REF!</v>
      </c>
      <c r="F340" s="113" t="str">
        <f>IFERROR(IF(AND(INDEX(#REF!,A340)&lt;&gt;"",INDEX(#REF!,A340)=0),$B$155,""),"")</f>
        <v/>
      </c>
      <c r="G340" s="113" t="str">
        <f>IFERROR(IF(12*INDEX(#REF!,A340)/INDEX(#REF!,A340)&gt;pers_other_nrhours_year,checks!$B$156,""),"")</f>
        <v/>
      </c>
      <c r="H340" t="e">
        <f>IF(AND(organisation_type="yes",INDEX(#REF!,A340,1)&lt;&gt;"",ISBLANK(INDEX(#REF!,A340,1))),$B$146,"")</f>
        <v>#REF!</v>
      </c>
      <c r="I340" t="e">
        <f>IF(AND(organisation_name="yes",INDEX(#REF!,A340,1)&lt;&gt;"",ISBLANK(INDEX(#REF!,A340,1))),$B$147,"")</f>
        <v>#REF!</v>
      </c>
    </row>
    <row r="341" spans="1:9" hidden="1" outlineLevel="1" x14ac:dyDescent="0.35">
      <c r="A341" s="113">
        <v>30</v>
      </c>
      <c r="B341" s="113" t="str">
        <f t="array" ref="B341">IFERROR(INDEX(personnel_other_inst[[#This Row],[Empty lines]:[Name organisation]],1,MATCH(TRUE,LEN(personnel_other_inst[[#This Row],[Empty lines]:[Name organisation]])&gt;0,0)),"")</f>
        <v/>
      </c>
      <c r="C341" s="113" t="str">
        <f>IFERROR(IF(AND(LEN(INDEX(#REF!,A341))+LEN(INDEX(#REF!,A341))+LEN(INDEX(#REF!,A341))+LEN(INDEX(#REF!,A341))&gt;0,LEN(INDEX(#REF!,A341-1))+LEN(INDEX(#REF!,A341-1))+LEN(INDEX(#REF!,A341-1))+LEN(INDEX(#REF!,A341-1))=0),$B$127,""),"")</f>
        <v/>
      </c>
      <c r="D341" s="113" t="str">
        <f>IFERROR(IF(AND(INDEX(#REF!,A341)="",OR(INDEX(#REF!,A341)&gt;0,INDEX(#REF!,A341)&gt;0,INDEX(#REF!,A341)&gt;0)),$B$152,""),"")</f>
        <v/>
      </c>
      <c r="E341" s="113" t="e">
        <f>SUBSTITUTE(IF(INDEX(#REF!,A341)&gt;IFERROR(INDEX(salaries_other_inst[Max hourly rate],MATCH(INDEX(#REF!,A341),salaries_other_inst[category],0),1),""),$B$153,""),"&lt;&lt;max_hourly_rate&gt;&gt;",TEXT(IFERROR(INDEX(salaries_other_inst[Max hourly rate],MATCH(INDEX(#REF!,A341),salaries_other_inst[category],0),1),""),"€ #"))</f>
        <v>#REF!</v>
      </c>
      <c r="F341" s="113" t="str">
        <f>IFERROR(IF(AND(INDEX(#REF!,A341)&lt;&gt;"",INDEX(#REF!,A341)=0),$B$155,""),"")</f>
        <v/>
      </c>
      <c r="G341" s="113" t="str">
        <f>IFERROR(IF(12*INDEX(#REF!,A341)/INDEX(#REF!,A341)&gt;pers_other_nrhours_year,checks!$B$156,""),"")</f>
        <v/>
      </c>
      <c r="H341" t="e">
        <f>IF(AND(organisation_type="yes",INDEX(#REF!,A341,1)&lt;&gt;"",ISBLANK(INDEX(#REF!,A341,1))),$B$146,"")</f>
        <v>#REF!</v>
      </c>
      <c r="I341" t="e">
        <f>IF(AND(organisation_name="yes",INDEX(#REF!,A341,1)&lt;&gt;"",ISBLANK(INDEX(#REF!,A341,1))),$B$147,"")</f>
        <v>#REF!</v>
      </c>
    </row>
    <row r="342" spans="1:9" hidden="1" outlineLevel="1" x14ac:dyDescent="0.35">
      <c r="A342" s="113">
        <v>31</v>
      </c>
      <c r="B342" s="113" t="str">
        <f t="array" ref="B342">IFERROR(INDEX(personnel_other_inst[[#This Row],[Empty lines]:[Name organisation]],1,MATCH(TRUE,LEN(personnel_other_inst[[#This Row],[Empty lines]:[Name organisation]])&gt;0,0)),"")</f>
        <v/>
      </c>
      <c r="C342" s="113" t="str">
        <f>IFERROR(IF(AND(LEN(INDEX(#REF!,A342))+LEN(INDEX(#REF!,A342))+LEN(INDEX(#REF!,A342))+LEN(INDEX(#REF!,A342))&gt;0,LEN(INDEX(#REF!,A342-1))+LEN(INDEX(#REF!,A342-1))+LEN(INDEX(#REF!,A342-1))+LEN(INDEX(#REF!,A342-1))=0),$B$127,""),"")</f>
        <v/>
      </c>
      <c r="D342" s="113" t="str">
        <f>IFERROR(IF(AND(INDEX(#REF!,A342)="",OR(INDEX(#REF!,A342)&gt;0,INDEX(#REF!,A342)&gt;0,INDEX(#REF!,A342)&gt;0)),$B$152,""),"")</f>
        <v/>
      </c>
      <c r="E342" s="113" t="e">
        <f>SUBSTITUTE(IF(INDEX(#REF!,A342)&gt;IFERROR(INDEX(salaries_other_inst[Max hourly rate],MATCH(INDEX(#REF!,A342),salaries_other_inst[category],0),1),""),$B$153,""),"&lt;&lt;max_hourly_rate&gt;&gt;",TEXT(IFERROR(INDEX(salaries_other_inst[Max hourly rate],MATCH(INDEX(#REF!,A342),salaries_other_inst[category],0),1),""),"€ #"))</f>
        <v>#REF!</v>
      </c>
      <c r="F342" s="113" t="str">
        <f>IFERROR(IF(AND(INDEX(#REF!,A342)&lt;&gt;"",INDEX(#REF!,A342)=0),$B$155,""),"")</f>
        <v/>
      </c>
      <c r="G342" s="113" t="str">
        <f>IFERROR(IF(12*INDEX(#REF!,A342)/INDEX(#REF!,A342)&gt;pers_other_nrhours_year,checks!$B$156,""),"")</f>
        <v/>
      </c>
      <c r="H342" t="e">
        <f>IF(AND(organisation_type="yes",INDEX(#REF!,A342,1)&lt;&gt;"",ISBLANK(INDEX(#REF!,A342,1))),$B$146,"")</f>
        <v>#REF!</v>
      </c>
      <c r="I342" t="e">
        <f>IF(AND(organisation_name="yes",INDEX(#REF!,A342,1)&lt;&gt;"",ISBLANK(INDEX(#REF!,A342,1))),$B$147,"")</f>
        <v>#REF!</v>
      </c>
    </row>
    <row r="343" spans="1:9" hidden="1" outlineLevel="1" x14ac:dyDescent="0.35">
      <c r="A343" s="113">
        <v>32</v>
      </c>
      <c r="B343" s="113" t="str">
        <f t="array" ref="B343">IFERROR(INDEX(personnel_other_inst[[#This Row],[Empty lines]:[Name organisation]],1,MATCH(TRUE,LEN(personnel_other_inst[[#This Row],[Empty lines]:[Name organisation]])&gt;0,0)),"")</f>
        <v/>
      </c>
      <c r="C343" s="113" t="str">
        <f>IFERROR(IF(AND(LEN(INDEX(#REF!,A343))+LEN(INDEX(#REF!,A343))+LEN(INDEX(#REF!,A343))+LEN(INDEX(#REF!,A343))&gt;0,LEN(INDEX(#REF!,A343-1))+LEN(INDEX(#REF!,A343-1))+LEN(INDEX(#REF!,A343-1))+LEN(INDEX(#REF!,A343-1))=0),$B$127,""),"")</f>
        <v/>
      </c>
      <c r="D343" s="113" t="str">
        <f>IFERROR(IF(AND(INDEX(#REF!,A343)="",OR(INDEX(#REF!,A343)&gt;0,INDEX(#REF!,A343)&gt;0,INDEX(#REF!,A343)&gt;0)),$B$152,""),"")</f>
        <v/>
      </c>
      <c r="E343" s="113" t="e">
        <f>SUBSTITUTE(IF(INDEX(#REF!,A343)&gt;IFERROR(INDEX(salaries_other_inst[Max hourly rate],MATCH(INDEX(#REF!,A343),salaries_other_inst[category],0),1),""),$B$153,""),"&lt;&lt;max_hourly_rate&gt;&gt;",TEXT(IFERROR(INDEX(salaries_other_inst[Max hourly rate],MATCH(INDEX(#REF!,A343),salaries_other_inst[category],0),1),""),"€ #"))</f>
        <v>#REF!</v>
      </c>
      <c r="F343" s="113" t="str">
        <f>IFERROR(IF(AND(INDEX(#REF!,A343)&lt;&gt;"",INDEX(#REF!,A343)=0),$B$155,""),"")</f>
        <v/>
      </c>
      <c r="G343" s="113" t="str">
        <f>IFERROR(IF(12*INDEX(#REF!,A343)/INDEX(#REF!,A343)&gt;pers_other_nrhours_year,checks!$B$156,""),"")</f>
        <v/>
      </c>
      <c r="H343" t="e">
        <f>IF(AND(organisation_type="yes",INDEX(#REF!,A343,1)&lt;&gt;"",ISBLANK(INDEX(#REF!,A343,1))),$B$146,"")</f>
        <v>#REF!</v>
      </c>
      <c r="I343" t="e">
        <f>IF(AND(organisation_name="yes",INDEX(#REF!,A343,1)&lt;&gt;"",ISBLANK(INDEX(#REF!,A343,1))),$B$147,"")</f>
        <v>#REF!</v>
      </c>
    </row>
    <row r="344" spans="1:9" hidden="1" outlineLevel="1" x14ac:dyDescent="0.35">
      <c r="A344" s="113">
        <v>33</v>
      </c>
      <c r="B344" s="113" t="str">
        <f t="array" ref="B344">IFERROR(INDEX(personnel_other_inst[[#This Row],[Empty lines]:[Name organisation]],1,MATCH(TRUE,LEN(personnel_other_inst[[#This Row],[Empty lines]:[Name organisation]])&gt;0,0)),"")</f>
        <v/>
      </c>
      <c r="C344" s="113" t="str">
        <f>IFERROR(IF(AND(LEN(INDEX(#REF!,A344))+LEN(INDEX(#REF!,A344))+LEN(INDEX(#REF!,A344))+LEN(INDEX(#REF!,A344))&gt;0,LEN(INDEX(#REF!,A344-1))+LEN(INDEX(#REF!,A344-1))+LEN(INDEX(#REF!,A344-1))+LEN(INDEX(#REF!,A344-1))=0),$B$127,""),"")</f>
        <v/>
      </c>
      <c r="D344" s="113" t="str">
        <f>IFERROR(IF(AND(INDEX(#REF!,A344)="",OR(INDEX(#REF!,A344)&gt;0,INDEX(#REF!,A344)&gt;0,INDEX(#REF!,A344)&gt;0)),$B$152,""),"")</f>
        <v/>
      </c>
      <c r="E344" s="113" t="e">
        <f>SUBSTITUTE(IF(INDEX(#REF!,A344)&gt;IFERROR(INDEX(salaries_other_inst[Max hourly rate],MATCH(INDEX(#REF!,A344),salaries_other_inst[category],0),1),""),$B$153,""),"&lt;&lt;max_hourly_rate&gt;&gt;",TEXT(IFERROR(INDEX(salaries_other_inst[Max hourly rate],MATCH(INDEX(#REF!,A344),salaries_other_inst[category],0),1),""),"€ #"))</f>
        <v>#REF!</v>
      </c>
      <c r="F344" s="113" t="str">
        <f>IFERROR(IF(AND(INDEX(#REF!,A344)&lt;&gt;"",INDEX(#REF!,A344)=0),$B$155,""),"")</f>
        <v/>
      </c>
      <c r="G344" s="113" t="str">
        <f>IFERROR(IF(12*INDEX(#REF!,A344)/INDEX(#REF!,A344)&gt;pers_other_nrhours_year,checks!$B$156,""),"")</f>
        <v/>
      </c>
      <c r="H344" t="e">
        <f>IF(AND(organisation_type="yes",INDEX(#REF!,A344,1)&lt;&gt;"",ISBLANK(INDEX(#REF!,A344,1))),$B$146,"")</f>
        <v>#REF!</v>
      </c>
      <c r="I344" t="e">
        <f>IF(AND(organisation_name="yes",INDEX(#REF!,A344,1)&lt;&gt;"",ISBLANK(INDEX(#REF!,A344,1))),$B$147,"")</f>
        <v>#REF!</v>
      </c>
    </row>
    <row r="345" spans="1:9" hidden="1" outlineLevel="1" x14ac:dyDescent="0.35">
      <c r="A345" s="113">
        <v>34</v>
      </c>
      <c r="B345" s="113" t="str">
        <f t="array" ref="B345">IFERROR(INDEX(personnel_other_inst[[#This Row],[Empty lines]:[Name organisation]],1,MATCH(TRUE,LEN(personnel_other_inst[[#This Row],[Empty lines]:[Name organisation]])&gt;0,0)),"")</f>
        <v/>
      </c>
      <c r="C345" s="113" t="str">
        <f>IFERROR(IF(AND(LEN(INDEX(#REF!,A345))+LEN(INDEX(#REF!,A345))+LEN(INDEX(#REF!,A345))+LEN(INDEX(#REF!,A345))&gt;0,LEN(INDEX(#REF!,A345-1))+LEN(INDEX(#REF!,A345-1))+LEN(INDEX(#REF!,A345-1))+LEN(INDEX(#REF!,A345-1))=0),$B$127,""),"")</f>
        <v/>
      </c>
      <c r="D345" s="113" t="str">
        <f>IFERROR(IF(AND(INDEX(#REF!,A345)="",OR(INDEX(#REF!,A345)&gt;0,INDEX(#REF!,A345)&gt;0,INDEX(#REF!,A345)&gt;0)),$B$152,""),"")</f>
        <v/>
      </c>
      <c r="E345" s="113" t="e">
        <f>SUBSTITUTE(IF(INDEX(#REF!,A345)&gt;IFERROR(INDEX(salaries_other_inst[Max hourly rate],MATCH(INDEX(#REF!,A345),salaries_other_inst[category],0),1),""),$B$153,""),"&lt;&lt;max_hourly_rate&gt;&gt;",TEXT(IFERROR(INDEX(salaries_other_inst[Max hourly rate],MATCH(INDEX(#REF!,A345),salaries_other_inst[category],0),1),""),"€ #"))</f>
        <v>#REF!</v>
      </c>
      <c r="F345" s="113" t="str">
        <f>IFERROR(IF(AND(INDEX(#REF!,A345)&lt;&gt;"",INDEX(#REF!,A345)=0),$B$155,""),"")</f>
        <v/>
      </c>
      <c r="G345" s="113" t="str">
        <f>IFERROR(IF(12*INDEX(#REF!,A345)/INDEX(#REF!,A345)&gt;pers_other_nrhours_year,checks!$B$156,""),"")</f>
        <v/>
      </c>
      <c r="H345" t="e">
        <f>IF(AND(organisation_type="yes",INDEX(#REF!,A345,1)&lt;&gt;"",ISBLANK(INDEX(#REF!,A345,1))),$B$146,"")</f>
        <v>#REF!</v>
      </c>
      <c r="I345" t="e">
        <f>IF(AND(organisation_name="yes",INDEX(#REF!,A345,1)&lt;&gt;"",ISBLANK(INDEX(#REF!,A345,1))),$B$147,"")</f>
        <v>#REF!</v>
      </c>
    </row>
    <row r="346" spans="1:9" hidden="1" outlineLevel="1" x14ac:dyDescent="0.35">
      <c r="A346" s="113">
        <v>35</v>
      </c>
      <c r="B346" s="113" t="str">
        <f t="array" ref="B346">IFERROR(INDEX(personnel_other_inst[[#This Row],[Empty lines]:[Name organisation]],1,MATCH(TRUE,LEN(personnel_other_inst[[#This Row],[Empty lines]:[Name organisation]])&gt;0,0)),"")</f>
        <v/>
      </c>
      <c r="C346" s="113" t="str">
        <f>IFERROR(IF(AND(LEN(INDEX(#REF!,A346))+LEN(INDEX(#REF!,A346))+LEN(INDEX(#REF!,A346))+LEN(INDEX(#REF!,A346))&gt;0,LEN(INDEX(#REF!,A346-1))+LEN(INDEX(#REF!,A346-1))+LEN(INDEX(#REF!,A346-1))+LEN(INDEX(#REF!,A346-1))=0),$B$127,""),"")</f>
        <v/>
      </c>
      <c r="D346" s="113" t="str">
        <f>IFERROR(IF(AND(INDEX(#REF!,A346)="",OR(INDEX(#REF!,A346)&gt;0,INDEX(#REF!,A346)&gt;0,INDEX(#REF!,A346)&gt;0)),$B$152,""),"")</f>
        <v/>
      </c>
      <c r="E346" s="113" t="e">
        <f>SUBSTITUTE(IF(INDEX(#REF!,A346)&gt;IFERROR(INDEX(salaries_other_inst[Max hourly rate],MATCH(INDEX(#REF!,A346),salaries_other_inst[category],0),1),""),$B$153,""),"&lt;&lt;max_hourly_rate&gt;&gt;",TEXT(IFERROR(INDEX(salaries_other_inst[Max hourly rate],MATCH(INDEX(#REF!,A346),salaries_other_inst[category],0),1),""),"€ #"))</f>
        <v>#REF!</v>
      </c>
      <c r="F346" s="113" t="str">
        <f>IFERROR(IF(AND(INDEX(#REF!,A346)&lt;&gt;"",INDEX(#REF!,A346)=0),$B$155,""),"")</f>
        <v/>
      </c>
      <c r="G346" s="113" t="str">
        <f>IFERROR(IF(12*INDEX(#REF!,A346)/INDEX(#REF!,A346)&gt;pers_other_nrhours_year,checks!$B$156,""),"")</f>
        <v/>
      </c>
      <c r="H346" t="e">
        <f>IF(AND(organisation_type="yes",INDEX(#REF!,A346,1)&lt;&gt;"",ISBLANK(INDEX(#REF!,A346,1))),$B$146,"")</f>
        <v>#REF!</v>
      </c>
      <c r="I346" t="e">
        <f>IF(AND(organisation_name="yes",INDEX(#REF!,A346,1)&lt;&gt;"",ISBLANK(INDEX(#REF!,A346,1))),$B$147,"")</f>
        <v>#REF!</v>
      </c>
    </row>
    <row r="347" spans="1:9" hidden="1" outlineLevel="1" x14ac:dyDescent="0.35">
      <c r="A347" s="113">
        <v>36</v>
      </c>
      <c r="B347" s="113" t="str">
        <f t="array" ref="B347">IFERROR(INDEX(personnel_other_inst[[#This Row],[Empty lines]:[Name organisation]],1,MATCH(TRUE,LEN(personnel_other_inst[[#This Row],[Empty lines]:[Name organisation]])&gt;0,0)),"")</f>
        <v/>
      </c>
      <c r="C347" s="113" t="str">
        <f>IFERROR(IF(AND(LEN(INDEX(#REF!,A347))+LEN(INDEX(#REF!,A347))+LEN(INDEX(#REF!,A347))+LEN(INDEX(#REF!,A347))&gt;0,LEN(INDEX(#REF!,A347-1))+LEN(INDEX(#REF!,A347-1))+LEN(INDEX(#REF!,A347-1))+LEN(INDEX(#REF!,A347-1))=0),$B$127,""),"")</f>
        <v/>
      </c>
      <c r="D347" s="113" t="str">
        <f>IFERROR(IF(AND(INDEX(#REF!,A347)="",OR(INDEX(#REF!,A347)&gt;0,INDEX(#REF!,A347)&gt;0,INDEX(#REF!,A347)&gt;0)),$B$152,""),"")</f>
        <v/>
      </c>
      <c r="E347" s="113" t="e">
        <f>SUBSTITUTE(IF(INDEX(#REF!,A347)&gt;IFERROR(INDEX(salaries_other_inst[Max hourly rate],MATCH(INDEX(#REF!,A347),salaries_other_inst[category],0),1),""),$B$153,""),"&lt;&lt;max_hourly_rate&gt;&gt;",TEXT(IFERROR(INDEX(salaries_other_inst[Max hourly rate],MATCH(INDEX(#REF!,A347),salaries_other_inst[category],0),1),""),"€ #"))</f>
        <v>#REF!</v>
      </c>
      <c r="F347" s="113" t="str">
        <f>IFERROR(IF(AND(INDEX(#REF!,A347)&lt;&gt;"",INDEX(#REF!,A347)=0),$B$155,""),"")</f>
        <v/>
      </c>
      <c r="G347" s="113" t="str">
        <f>IFERROR(IF(12*INDEX(#REF!,A347)/INDEX(#REF!,A347)&gt;pers_other_nrhours_year,checks!$B$156,""),"")</f>
        <v/>
      </c>
      <c r="H347" t="e">
        <f>IF(AND(organisation_type="yes",INDEX(#REF!,A347,1)&lt;&gt;"",ISBLANK(INDEX(#REF!,A347,1))),$B$146,"")</f>
        <v>#REF!</v>
      </c>
      <c r="I347" t="e">
        <f>IF(AND(organisation_name="yes",INDEX(#REF!,A347,1)&lt;&gt;"",ISBLANK(INDEX(#REF!,A347,1))),$B$147,"")</f>
        <v>#REF!</v>
      </c>
    </row>
    <row r="348" spans="1:9" hidden="1" outlineLevel="1" x14ac:dyDescent="0.35">
      <c r="A348" s="113">
        <v>37</v>
      </c>
      <c r="B348" s="113" t="str">
        <f t="array" ref="B348">IFERROR(INDEX(personnel_other_inst[[#This Row],[Empty lines]:[Name organisation]],1,MATCH(TRUE,LEN(personnel_other_inst[[#This Row],[Empty lines]:[Name organisation]])&gt;0,0)),"")</f>
        <v/>
      </c>
      <c r="C348" s="113" t="str">
        <f>IFERROR(IF(AND(LEN(INDEX(#REF!,A348))+LEN(INDEX(#REF!,A348))+LEN(INDEX(#REF!,A348))+LEN(INDEX(#REF!,A348))&gt;0,LEN(INDEX(#REF!,A348-1))+LEN(INDEX(#REF!,A348-1))+LEN(INDEX(#REF!,A348-1))+LEN(INDEX(#REF!,A348-1))=0),$B$127,""),"")</f>
        <v/>
      </c>
      <c r="D348" s="113" t="str">
        <f>IFERROR(IF(AND(INDEX(#REF!,A348)="",OR(INDEX(#REF!,A348)&gt;0,INDEX(#REF!,A348)&gt;0,INDEX(#REF!,A348)&gt;0)),$B$152,""),"")</f>
        <v/>
      </c>
      <c r="E348" s="113" t="e">
        <f>SUBSTITUTE(IF(INDEX(#REF!,A348)&gt;IFERROR(INDEX(salaries_other_inst[Max hourly rate],MATCH(INDEX(#REF!,A348),salaries_other_inst[category],0),1),""),$B$153,""),"&lt;&lt;max_hourly_rate&gt;&gt;",TEXT(IFERROR(INDEX(salaries_other_inst[Max hourly rate],MATCH(INDEX(#REF!,A348),salaries_other_inst[category],0),1),""),"€ #"))</f>
        <v>#REF!</v>
      </c>
      <c r="F348" s="113" t="str">
        <f>IFERROR(IF(AND(INDEX(#REF!,A348)&lt;&gt;"",INDEX(#REF!,A348)=0),$B$155,""),"")</f>
        <v/>
      </c>
      <c r="G348" s="113" t="str">
        <f>IFERROR(IF(12*INDEX(#REF!,A348)/INDEX(#REF!,A348)&gt;pers_other_nrhours_year,checks!$B$156,""),"")</f>
        <v/>
      </c>
      <c r="H348" t="e">
        <f>IF(AND(organisation_type="yes",INDEX(#REF!,A348,1)&lt;&gt;"",ISBLANK(INDEX(#REF!,A348,1))),$B$146,"")</f>
        <v>#REF!</v>
      </c>
      <c r="I348" t="e">
        <f>IF(AND(organisation_name="yes",INDEX(#REF!,A348,1)&lt;&gt;"",ISBLANK(INDEX(#REF!,A348,1))),$B$147,"")</f>
        <v>#REF!</v>
      </c>
    </row>
    <row r="349" spans="1:9" hidden="1" outlineLevel="1" x14ac:dyDescent="0.35">
      <c r="A349" s="113">
        <v>38</v>
      </c>
      <c r="B349" s="113" t="str">
        <f t="array" ref="B349">IFERROR(INDEX(personnel_other_inst[[#This Row],[Empty lines]:[Name organisation]],1,MATCH(TRUE,LEN(personnel_other_inst[[#This Row],[Empty lines]:[Name organisation]])&gt;0,0)),"")</f>
        <v/>
      </c>
      <c r="C349" s="113" t="str">
        <f>IFERROR(IF(AND(LEN(INDEX(#REF!,A349))+LEN(INDEX(#REF!,A349))+LEN(INDEX(#REF!,A349))+LEN(INDEX(#REF!,A349))&gt;0,LEN(INDEX(#REF!,A349-1))+LEN(INDEX(#REF!,A349-1))+LEN(INDEX(#REF!,A349-1))+LEN(INDEX(#REF!,A349-1))=0),$B$127,""),"")</f>
        <v/>
      </c>
      <c r="D349" s="113" t="str">
        <f>IFERROR(IF(AND(INDEX(#REF!,A349)="",OR(INDEX(#REF!,A349)&gt;0,INDEX(#REF!,A349)&gt;0,INDEX(#REF!,A349)&gt;0)),$B$152,""),"")</f>
        <v/>
      </c>
      <c r="E349" s="113" t="e">
        <f>SUBSTITUTE(IF(INDEX(#REF!,A349)&gt;IFERROR(INDEX(salaries_other_inst[Max hourly rate],MATCH(INDEX(#REF!,A349),salaries_other_inst[category],0),1),""),$B$153,""),"&lt;&lt;max_hourly_rate&gt;&gt;",TEXT(IFERROR(INDEX(salaries_other_inst[Max hourly rate],MATCH(INDEX(#REF!,A349),salaries_other_inst[category],0),1),""),"€ #"))</f>
        <v>#REF!</v>
      </c>
      <c r="F349" s="113" t="str">
        <f>IFERROR(IF(AND(INDEX(#REF!,A349)&lt;&gt;"",INDEX(#REF!,A349)=0),$B$155,""),"")</f>
        <v/>
      </c>
      <c r="G349" s="113" t="str">
        <f>IFERROR(IF(12*INDEX(#REF!,A349)/INDEX(#REF!,A349)&gt;pers_other_nrhours_year,checks!$B$156,""),"")</f>
        <v/>
      </c>
      <c r="H349" t="e">
        <f>IF(AND(organisation_type="yes",INDEX(#REF!,A349,1)&lt;&gt;"",ISBLANK(INDEX(#REF!,A349,1))),$B$146,"")</f>
        <v>#REF!</v>
      </c>
      <c r="I349" t="e">
        <f>IF(AND(organisation_name="yes",INDEX(#REF!,A349,1)&lt;&gt;"",ISBLANK(INDEX(#REF!,A349,1))),$B$147,"")</f>
        <v>#REF!</v>
      </c>
    </row>
    <row r="350" spans="1:9" hidden="1" outlineLevel="1" x14ac:dyDescent="0.35">
      <c r="A350" s="113">
        <v>39</v>
      </c>
      <c r="B350" s="113" t="str">
        <f t="array" ref="B350">IFERROR(INDEX(personnel_other_inst[[#This Row],[Empty lines]:[Name organisation]],1,MATCH(TRUE,LEN(personnel_other_inst[[#This Row],[Empty lines]:[Name organisation]])&gt;0,0)),"")</f>
        <v/>
      </c>
      <c r="C350" s="113" t="str">
        <f>IFERROR(IF(AND(LEN(INDEX(#REF!,A350))+LEN(INDEX(#REF!,A350))+LEN(INDEX(#REF!,A350))+LEN(INDEX(#REF!,A350))&gt;0,LEN(INDEX(#REF!,A350-1))+LEN(INDEX(#REF!,A350-1))+LEN(INDEX(#REF!,A350-1))+LEN(INDEX(#REF!,A350-1))=0),$B$127,""),"")</f>
        <v/>
      </c>
      <c r="D350" s="113" t="str">
        <f>IFERROR(IF(AND(INDEX(#REF!,A350)="",OR(INDEX(#REF!,A350)&gt;0,INDEX(#REF!,A350)&gt;0,INDEX(#REF!,A350)&gt;0)),$B$152,""),"")</f>
        <v/>
      </c>
      <c r="E350" s="113" t="e">
        <f>SUBSTITUTE(IF(INDEX(#REF!,A350)&gt;IFERROR(INDEX(salaries_other_inst[Max hourly rate],MATCH(INDEX(#REF!,A350),salaries_other_inst[category],0),1),""),$B$153,""),"&lt;&lt;max_hourly_rate&gt;&gt;",TEXT(IFERROR(INDEX(salaries_other_inst[Max hourly rate],MATCH(INDEX(#REF!,A350),salaries_other_inst[category],0),1),""),"€ #"))</f>
        <v>#REF!</v>
      </c>
      <c r="F350" s="113" t="str">
        <f>IFERROR(IF(AND(INDEX(#REF!,A350)&lt;&gt;"",INDEX(#REF!,A350)=0),$B$155,""),"")</f>
        <v/>
      </c>
      <c r="G350" s="113" t="str">
        <f>IFERROR(IF(12*INDEX(#REF!,A350)/INDEX(#REF!,A350)&gt;pers_other_nrhours_year,checks!$B$156,""),"")</f>
        <v/>
      </c>
      <c r="H350" t="e">
        <f>IF(AND(organisation_type="yes",INDEX(#REF!,A350,1)&lt;&gt;"",ISBLANK(INDEX(#REF!,A350,1))),$B$146,"")</f>
        <v>#REF!</v>
      </c>
      <c r="I350" t="e">
        <f>IF(AND(organisation_name="yes",INDEX(#REF!,A350,1)&lt;&gt;"",ISBLANK(INDEX(#REF!,A350,1))),$B$147,"")</f>
        <v>#REF!</v>
      </c>
    </row>
    <row r="351" spans="1:9" hidden="1" outlineLevel="1" x14ac:dyDescent="0.35">
      <c r="A351" s="113">
        <v>40</v>
      </c>
      <c r="B351" s="113" t="str">
        <f t="array" ref="B351">IFERROR(INDEX(personnel_other_inst[[#This Row],[Empty lines]:[Name organisation]],1,MATCH(TRUE,LEN(personnel_other_inst[[#This Row],[Empty lines]:[Name organisation]])&gt;0,0)),"")</f>
        <v/>
      </c>
      <c r="C351" s="113" t="str">
        <f>IFERROR(IF(AND(LEN(INDEX(#REF!,A351))+LEN(INDEX(#REF!,A351))+LEN(INDEX(#REF!,A351))+LEN(INDEX(#REF!,A351))&gt;0,LEN(INDEX(#REF!,A351-1))+LEN(INDEX(#REF!,A351-1))+LEN(INDEX(#REF!,A351-1))+LEN(INDEX(#REF!,A351-1))=0),$B$127,""),"")</f>
        <v/>
      </c>
      <c r="D351" s="113" t="str">
        <f>IFERROR(IF(AND(INDEX(#REF!,A351)="",OR(INDEX(#REF!,A351)&gt;0,INDEX(#REF!,A351)&gt;0,INDEX(#REF!,A351)&gt;0)),$B$152,""),"")</f>
        <v/>
      </c>
      <c r="E351" s="113" t="e">
        <f>SUBSTITUTE(IF(INDEX(#REF!,A351)&gt;IFERROR(INDEX(salaries_other_inst[Max hourly rate],MATCH(INDEX(#REF!,A351),salaries_other_inst[category],0),1),""),$B$153,""),"&lt;&lt;max_hourly_rate&gt;&gt;",TEXT(IFERROR(INDEX(salaries_other_inst[Max hourly rate],MATCH(INDEX(#REF!,A351),salaries_other_inst[category],0),1),""),"€ #"))</f>
        <v>#REF!</v>
      </c>
      <c r="F351" s="113" t="str">
        <f>IFERROR(IF(AND(INDEX(#REF!,A351)&lt;&gt;"",INDEX(#REF!,A351)=0),$B$155,""),"")</f>
        <v/>
      </c>
      <c r="G351" s="113" t="str">
        <f>IFERROR(IF(12*INDEX(#REF!,A351)/INDEX(#REF!,A351)&gt;pers_other_nrhours_year,checks!$B$156,""),"")</f>
        <v/>
      </c>
      <c r="H351" t="e">
        <f>IF(AND(organisation_type="yes",INDEX(#REF!,A351,1)&lt;&gt;"",ISBLANK(INDEX(#REF!,A351,1))),$B$146,"")</f>
        <v>#REF!</v>
      </c>
      <c r="I351" t="e">
        <f>IF(AND(organisation_name="yes",INDEX(#REF!,A351,1)&lt;&gt;"",ISBLANK(INDEX(#REF!,A351,1))),$B$147,"")</f>
        <v>#REF!</v>
      </c>
    </row>
    <row r="352" spans="1:9" hidden="1" outlineLevel="1" x14ac:dyDescent="0.35">
      <c r="A352" s="113">
        <v>41</v>
      </c>
      <c r="B352" s="113" t="str">
        <f t="array" ref="B352">IFERROR(INDEX(personnel_other_inst[[#This Row],[Empty lines]:[Name organisation]],1,MATCH(TRUE,LEN(personnel_other_inst[[#This Row],[Empty lines]:[Name organisation]])&gt;0,0)),"")</f>
        <v/>
      </c>
      <c r="C352" s="113" t="str">
        <f>IFERROR(IF(AND(LEN(INDEX(#REF!,A352))+LEN(INDEX(#REF!,A352))+LEN(INDEX(#REF!,A352))+LEN(INDEX(#REF!,A352))&gt;0,LEN(INDEX(#REF!,A352-1))+LEN(INDEX(#REF!,A352-1))+LEN(INDEX(#REF!,A352-1))+LEN(INDEX(#REF!,A352-1))=0),$B$127,""),"")</f>
        <v/>
      </c>
      <c r="D352" s="113" t="str">
        <f>IFERROR(IF(AND(INDEX(#REF!,A352)="",OR(INDEX(#REF!,A352)&gt;0,INDEX(#REF!,A352)&gt;0,INDEX(#REF!,A352)&gt;0)),$B$152,""),"")</f>
        <v/>
      </c>
      <c r="E352" s="113" t="e">
        <f>SUBSTITUTE(IF(INDEX(#REF!,A352)&gt;IFERROR(INDEX(salaries_other_inst[Max hourly rate],MATCH(INDEX(#REF!,A352),salaries_other_inst[category],0),1),""),$B$153,""),"&lt;&lt;max_hourly_rate&gt;&gt;",TEXT(IFERROR(INDEX(salaries_other_inst[Max hourly rate],MATCH(INDEX(#REF!,A352),salaries_other_inst[category],0),1),""),"€ #"))</f>
        <v>#REF!</v>
      </c>
      <c r="F352" s="113" t="str">
        <f>IFERROR(IF(AND(INDEX(#REF!,A352)&lt;&gt;"",INDEX(#REF!,A352)=0),$B$155,""),"")</f>
        <v/>
      </c>
      <c r="G352" s="113" t="str">
        <f>IFERROR(IF(12*INDEX(#REF!,A352)/INDEX(#REF!,A352)&gt;pers_other_nrhours_year,checks!$B$156,""),"")</f>
        <v/>
      </c>
      <c r="H352" t="e">
        <f>IF(AND(organisation_type="yes",INDEX(#REF!,A352,1)&lt;&gt;"",ISBLANK(INDEX(#REF!,A352,1))),$B$146,"")</f>
        <v>#REF!</v>
      </c>
      <c r="I352" t="e">
        <f>IF(AND(organisation_name="yes",INDEX(#REF!,A352,1)&lt;&gt;"",ISBLANK(INDEX(#REF!,A352,1))),$B$147,"")</f>
        <v>#REF!</v>
      </c>
    </row>
    <row r="353" spans="1:9" hidden="1" outlineLevel="1" x14ac:dyDescent="0.35">
      <c r="A353" s="113">
        <v>42</v>
      </c>
      <c r="B353" s="113" t="str">
        <f t="array" ref="B353">IFERROR(INDEX(personnel_other_inst[[#This Row],[Empty lines]:[Name organisation]],1,MATCH(TRUE,LEN(personnel_other_inst[[#This Row],[Empty lines]:[Name organisation]])&gt;0,0)),"")</f>
        <v/>
      </c>
      <c r="C353" s="113" t="str">
        <f>IFERROR(IF(AND(LEN(INDEX(#REF!,A353))+LEN(INDEX(#REF!,A353))+LEN(INDEX(#REF!,A353))+LEN(INDEX(#REF!,A353))&gt;0,LEN(INDEX(#REF!,A353-1))+LEN(INDEX(#REF!,A353-1))+LEN(INDEX(#REF!,A353-1))+LEN(INDEX(#REF!,A353-1))=0),$B$127,""),"")</f>
        <v/>
      </c>
      <c r="D353" s="113" t="str">
        <f>IFERROR(IF(AND(INDEX(#REF!,A353)="",OR(INDEX(#REF!,A353)&gt;0,INDEX(#REF!,A353)&gt;0,INDEX(#REF!,A353)&gt;0)),$B$152,""),"")</f>
        <v/>
      </c>
      <c r="E353" s="113" t="e">
        <f>SUBSTITUTE(IF(INDEX(#REF!,A353)&gt;IFERROR(INDEX(salaries_other_inst[Max hourly rate],MATCH(INDEX(#REF!,A353),salaries_other_inst[category],0),1),""),$B$153,""),"&lt;&lt;max_hourly_rate&gt;&gt;",TEXT(IFERROR(INDEX(salaries_other_inst[Max hourly rate],MATCH(INDEX(#REF!,A353),salaries_other_inst[category],0),1),""),"€ #"))</f>
        <v>#REF!</v>
      </c>
      <c r="F353" s="113" t="str">
        <f>IFERROR(IF(AND(INDEX(#REF!,A353)&lt;&gt;"",INDEX(#REF!,A353)=0),$B$155,""),"")</f>
        <v/>
      </c>
      <c r="G353" s="113" t="str">
        <f>IFERROR(IF(12*INDEX(#REF!,A353)/INDEX(#REF!,A353)&gt;pers_other_nrhours_year,checks!$B$156,""),"")</f>
        <v/>
      </c>
      <c r="H353" t="e">
        <f>IF(AND(organisation_type="yes",INDEX(#REF!,A353,1)&lt;&gt;"",ISBLANK(INDEX(#REF!,A353,1))),$B$146,"")</f>
        <v>#REF!</v>
      </c>
      <c r="I353" t="e">
        <f>IF(AND(organisation_name="yes",INDEX(#REF!,A353,1)&lt;&gt;"",ISBLANK(INDEX(#REF!,A353,1))),$B$147,"")</f>
        <v>#REF!</v>
      </c>
    </row>
    <row r="354" spans="1:9" hidden="1" outlineLevel="1" x14ac:dyDescent="0.35">
      <c r="A354" s="113">
        <v>43</v>
      </c>
      <c r="B354" s="113" t="str">
        <f t="array" ref="B354">IFERROR(INDEX(personnel_other_inst[[#This Row],[Empty lines]:[Name organisation]],1,MATCH(TRUE,LEN(personnel_other_inst[[#This Row],[Empty lines]:[Name organisation]])&gt;0,0)),"")</f>
        <v/>
      </c>
      <c r="C354" s="113" t="str">
        <f>IFERROR(IF(AND(LEN(INDEX(#REF!,A354))+LEN(INDEX(#REF!,A354))+LEN(INDEX(#REF!,A354))+LEN(INDEX(#REF!,A354))&gt;0,LEN(INDEX(#REF!,A354-1))+LEN(INDEX(#REF!,A354-1))+LEN(INDEX(#REF!,A354-1))+LEN(INDEX(#REF!,A354-1))=0),$B$127,""),"")</f>
        <v/>
      </c>
      <c r="D354" s="113" t="str">
        <f>IFERROR(IF(AND(INDEX(#REF!,A354)="",OR(INDEX(#REF!,A354)&gt;0,INDEX(#REF!,A354)&gt;0,INDEX(#REF!,A354)&gt;0)),$B$152,""),"")</f>
        <v/>
      </c>
      <c r="E354" s="113" t="e">
        <f>SUBSTITUTE(IF(INDEX(#REF!,A354)&gt;IFERROR(INDEX(salaries_other_inst[Max hourly rate],MATCH(INDEX(#REF!,A354),salaries_other_inst[category],0),1),""),$B$153,""),"&lt;&lt;max_hourly_rate&gt;&gt;",TEXT(IFERROR(INDEX(salaries_other_inst[Max hourly rate],MATCH(INDEX(#REF!,A354),salaries_other_inst[category],0),1),""),"€ #"))</f>
        <v>#REF!</v>
      </c>
      <c r="F354" s="113" t="str">
        <f>IFERROR(IF(AND(INDEX(#REF!,A354)&lt;&gt;"",INDEX(#REF!,A354)=0),$B$155,""),"")</f>
        <v/>
      </c>
      <c r="G354" s="113" t="str">
        <f>IFERROR(IF(12*INDEX(#REF!,A354)/INDEX(#REF!,A354)&gt;pers_other_nrhours_year,checks!$B$156,""),"")</f>
        <v/>
      </c>
      <c r="H354" t="e">
        <f>IF(AND(organisation_type="yes",INDEX(#REF!,A354,1)&lt;&gt;"",ISBLANK(INDEX(#REF!,A354,1))),$B$146,"")</f>
        <v>#REF!</v>
      </c>
      <c r="I354" t="e">
        <f>IF(AND(organisation_name="yes",INDEX(#REF!,A354,1)&lt;&gt;"",ISBLANK(INDEX(#REF!,A354,1))),$B$147,"")</f>
        <v>#REF!</v>
      </c>
    </row>
    <row r="355" spans="1:9" hidden="1" outlineLevel="1" x14ac:dyDescent="0.35">
      <c r="A355" s="113">
        <v>44</v>
      </c>
      <c r="B355" s="113" t="str">
        <f t="array" ref="B355">IFERROR(INDEX(personnel_other_inst[[#This Row],[Empty lines]:[Name organisation]],1,MATCH(TRUE,LEN(personnel_other_inst[[#This Row],[Empty lines]:[Name organisation]])&gt;0,0)),"")</f>
        <v/>
      </c>
      <c r="C355" s="113" t="str">
        <f>IFERROR(IF(AND(LEN(INDEX(#REF!,A355))+LEN(INDEX(#REF!,A355))+LEN(INDEX(#REF!,A355))+LEN(INDEX(#REF!,A355))&gt;0,LEN(INDEX(#REF!,A355-1))+LEN(INDEX(#REF!,A355-1))+LEN(INDEX(#REF!,A355-1))+LEN(INDEX(#REF!,A355-1))=0),$B$127,""),"")</f>
        <v/>
      </c>
      <c r="D355" s="113" t="str">
        <f>IFERROR(IF(AND(INDEX(#REF!,A355)="",OR(INDEX(#REF!,A355)&gt;0,INDEX(#REF!,A355)&gt;0,INDEX(#REF!,A355)&gt;0)),$B$152,""),"")</f>
        <v/>
      </c>
      <c r="E355" s="113" t="e">
        <f>SUBSTITUTE(IF(INDEX(#REF!,A355)&gt;IFERROR(INDEX(salaries_other_inst[Max hourly rate],MATCH(INDEX(#REF!,A355),salaries_other_inst[category],0),1),""),$B$153,""),"&lt;&lt;max_hourly_rate&gt;&gt;",TEXT(IFERROR(INDEX(salaries_other_inst[Max hourly rate],MATCH(INDEX(#REF!,A355),salaries_other_inst[category],0),1),""),"€ #"))</f>
        <v>#REF!</v>
      </c>
      <c r="F355" s="113" t="str">
        <f>IFERROR(IF(AND(INDEX(#REF!,A355)&lt;&gt;"",INDEX(#REF!,A355)=0),$B$155,""),"")</f>
        <v/>
      </c>
      <c r="G355" s="113" t="str">
        <f>IFERROR(IF(12*INDEX(#REF!,A355)/INDEX(#REF!,A355)&gt;pers_other_nrhours_year,checks!$B$156,""),"")</f>
        <v/>
      </c>
      <c r="H355" t="e">
        <f>IF(AND(organisation_type="yes",INDEX(#REF!,A355,1)&lt;&gt;"",ISBLANK(INDEX(#REF!,A355,1))),$B$146,"")</f>
        <v>#REF!</v>
      </c>
      <c r="I355" t="e">
        <f>IF(AND(organisation_name="yes",INDEX(#REF!,A355,1)&lt;&gt;"",ISBLANK(INDEX(#REF!,A355,1))),$B$147,"")</f>
        <v>#REF!</v>
      </c>
    </row>
    <row r="356" spans="1:9" hidden="1" outlineLevel="1" x14ac:dyDescent="0.35">
      <c r="A356" s="113">
        <v>45</v>
      </c>
      <c r="B356" s="113" t="str">
        <f t="array" ref="B356">IFERROR(INDEX(personnel_other_inst[[#This Row],[Empty lines]:[Name organisation]],1,MATCH(TRUE,LEN(personnel_other_inst[[#This Row],[Empty lines]:[Name organisation]])&gt;0,0)),"")</f>
        <v/>
      </c>
      <c r="C356" s="113" t="str">
        <f>IFERROR(IF(AND(LEN(INDEX(#REF!,A356))+LEN(INDEX(#REF!,A356))+LEN(INDEX(#REF!,A356))+LEN(INDEX(#REF!,A356))&gt;0,LEN(INDEX(#REF!,A356-1))+LEN(INDEX(#REF!,A356-1))+LEN(INDEX(#REF!,A356-1))+LEN(INDEX(#REF!,A356-1))=0),$B$127,""),"")</f>
        <v/>
      </c>
      <c r="D356" s="113" t="str">
        <f>IFERROR(IF(AND(INDEX(#REF!,A356)="",OR(INDEX(#REF!,A356)&gt;0,INDEX(#REF!,A356)&gt;0,INDEX(#REF!,A356)&gt;0)),$B$152,""),"")</f>
        <v/>
      </c>
      <c r="E356" s="113" t="e">
        <f>SUBSTITUTE(IF(INDEX(#REF!,A356)&gt;IFERROR(INDEX(salaries_other_inst[Max hourly rate],MATCH(INDEX(#REF!,A356),salaries_other_inst[category],0),1),""),$B$153,""),"&lt;&lt;max_hourly_rate&gt;&gt;",TEXT(IFERROR(INDEX(salaries_other_inst[Max hourly rate],MATCH(INDEX(#REF!,A356),salaries_other_inst[category],0),1),""),"€ #"))</f>
        <v>#REF!</v>
      </c>
      <c r="F356" s="113" t="str">
        <f>IFERROR(IF(AND(INDEX(#REF!,A356)&lt;&gt;"",INDEX(#REF!,A356)=0),$B$155,""),"")</f>
        <v/>
      </c>
      <c r="G356" s="113" t="str">
        <f>IFERROR(IF(12*INDEX(#REF!,A356)/INDEX(#REF!,A356)&gt;pers_other_nrhours_year,checks!$B$156,""),"")</f>
        <v/>
      </c>
      <c r="H356" t="e">
        <f>IF(AND(organisation_type="yes",INDEX(#REF!,A356,1)&lt;&gt;"",ISBLANK(INDEX(#REF!,A356,1))),$B$146,"")</f>
        <v>#REF!</v>
      </c>
      <c r="I356" t="e">
        <f>IF(AND(organisation_name="yes",INDEX(#REF!,A356,1)&lt;&gt;"",ISBLANK(INDEX(#REF!,A356,1))),$B$147,"")</f>
        <v>#REF!</v>
      </c>
    </row>
    <row r="357" spans="1:9" hidden="1" outlineLevel="1" x14ac:dyDescent="0.35">
      <c r="A357" s="113">
        <v>46</v>
      </c>
      <c r="B357" s="113" t="str">
        <f t="array" ref="B357">IFERROR(INDEX(personnel_other_inst[[#This Row],[Empty lines]:[Name organisation]],1,MATCH(TRUE,LEN(personnel_other_inst[[#This Row],[Empty lines]:[Name organisation]])&gt;0,0)),"")</f>
        <v/>
      </c>
      <c r="C357" s="113" t="str">
        <f>IFERROR(IF(AND(LEN(INDEX(#REF!,A357))+LEN(INDEX(#REF!,A357))+LEN(INDEX(#REF!,A357))+LEN(INDEX(#REF!,A357))&gt;0,LEN(INDEX(#REF!,A357-1))+LEN(INDEX(#REF!,A357-1))+LEN(INDEX(#REF!,A357-1))+LEN(INDEX(#REF!,A357-1))=0),$B$127,""),"")</f>
        <v/>
      </c>
      <c r="D357" s="113" t="str">
        <f>IFERROR(IF(AND(INDEX(#REF!,A357)="",OR(INDEX(#REF!,A357)&gt;0,INDEX(#REF!,A357)&gt;0,INDEX(#REF!,A357)&gt;0)),$B$152,""),"")</f>
        <v/>
      </c>
      <c r="E357" s="113" t="e">
        <f>SUBSTITUTE(IF(INDEX(#REF!,A357)&gt;IFERROR(INDEX(salaries_other_inst[Max hourly rate],MATCH(INDEX(#REF!,A357),salaries_other_inst[category],0),1),""),$B$153,""),"&lt;&lt;max_hourly_rate&gt;&gt;",TEXT(IFERROR(INDEX(salaries_other_inst[Max hourly rate],MATCH(INDEX(#REF!,A357),salaries_other_inst[category],0),1),""),"€ #"))</f>
        <v>#REF!</v>
      </c>
      <c r="F357" s="113" t="str">
        <f>IFERROR(IF(AND(INDEX(#REF!,A357)&lt;&gt;"",INDEX(#REF!,A357)=0),$B$155,""),"")</f>
        <v/>
      </c>
      <c r="G357" s="113" t="str">
        <f>IFERROR(IF(12*INDEX(#REF!,A357)/INDEX(#REF!,A357)&gt;pers_other_nrhours_year,checks!$B$156,""),"")</f>
        <v/>
      </c>
      <c r="H357" t="e">
        <f>IF(AND(organisation_type="yes",INDEX(#REF!,A357,1)&lt;&gt;"",ISBLANK(INDEX(#REF!,A357,1))),$B$146,"")</f>
        <v>#REF!</v>
      </c>
      <c r="I357" t="e">
        <f>IF(AND(organisation_name="yes",INDEX(#REF!,A357,1)&lt;&gt;"",ISBLANK(INDEX(#REF!,A357,1))),$B$147,"")</f>
        <v>#REF!</v>
      </c>
    </row>
    <row r="358" spans="1:9" hidden="1" outlineLevel="1" x14ac:dyDescent="0.35">
      <c r="A358" s="113">
        <v>47</v>
      </c>
      <c r="B358" s="113" t="str">
        <f t="array" ref="B358">IFERROR(INDEX(personnel_other_inst[[#This Row],[Empty lines]:[Name organisation]],1,MATCH(TRUE,LEN(personnel_other_inst[[#This Row],[Empty lines]:[Name organisation]])&gt;0,0)),"")</f>
        <v/>
      </c>
      <c r="C358" s="113" t="str">
        <f>IFERROR(IF(AND(LEN(INDEX(#REF!,A358))+LEN(INDEX(#REF!,A358))+LEN(INDEX(#REF!,A358))+LEN(INDEX(#REF!,A358))&gt;0,LEN(INDEX(#REF!,A358-1))+LEN(INDEX(#REF!,A358-1))+LEN(INDEX(#REF!,A358-1))+LEN(INDEX(#REF!,A358-1))=0),$B$127,""),"")</f>
        <v/>
      </c>
      <c r="D358" s="113" t="str">
        <f>IFERROR(IF(AND(INDEX(#REF!,A358)="",OR(INDEX(#REF!,A358)&gt;0,INDEX(#REF!,A358)&gt;0,INDEX(#REF!,A358)&gt;0)),$B$152,""),"")</f>
        <v/>
      </c>
      <c r="E358" s="113" t="e">
        <f>SUBSTITUTE(IF(INDEX(#REF!,A358)&gt;IFERROR(INDEX(salaries_other_inst[Max hourly rate],MATCH(INDEX(#REF!,A358),salaries_other_inst[category],0),1),""),$B$153,""),"&lt;&lt;max_hourly_rate&gt;&gt;",TEXT(IFERROR(INDEX(salaries_other_inst[Max hourly rate],MATCH(INDEX(#REF!,A358),salaries_other_inst[category],0),1),""),"€ #"))</f>
        <v>#REF!</v>
      </c>
      <c r="F358" s="113" t="str">
        <f>IFERROR(IF(AND(INDEX(#REF!,A358)&lt;&gt;"",INDEX(#REF!,A358)=0),$B$155,""),"")</f>
        <v/>
      </c>
      <c r="G358" s="113" t="str">
        <f>IFERROR(IF(12*INDEX(#REF!,A358)/INDEX(#REF!,A358)&gt;pers_other_nrhours_year,checks!$B$156,""),"")</f>
        <v/>
      </c>
      <c r="H358" t="e">
        <f>IF(AND(organisation_type="yes",INDEX(#REF!,A358,1)&lt;&gt;"",ISBLANK(INDEX(#REF!,A358,1))),$B$146,"")</f>
        <v>#REF!</v>
      </c>
      <c r="I358" t="e">
        <f>IF(AND(organisation_name="yes",INDEX(#REF!,A358,1)&lt;&gt;"",ISBLANK(INDEX(#REF!,A358,1))),$B$147,"")</f>
        <v>#REF!</v>
      </c>
    </row>
    <row r="359" spans="1:9" hidden="1" outlineLevel="1" x14ac:dyDescent="0.35">
      <c r="A359" s="113">
        <v>48</v>
      </c>
      <c r="B359" s="113" t="str">
        <f t="array" ref="B359">IFERROR(INDEX(personnel_other_inst[[#This Row],[Empty lines]:[Name organisation]],1,MATCH(TRUE,LEN(personnel_other_inst[[#This Row],[Empty lines]:[Name organisation]])&gt;0,0)),"")</f>
        <v/>
      </c>
      <c r="C359" s="113" t="str">
        <f>IFERROR(IF(AND(LEN(INDEX(#REF!,A359))+LEN(INDEX(#REF!,A359))+LEN(INDEX(#REF!,A359))+LEN(INDEX(#REF!,A359))&gt;0,LEN(INDEX(#REF!,A359-1))+LEN(INDEX(#REF!,A359-1))+LEN(INDEX(#REF!,A359-1))+LEN(INDEX(#REF!,A359-1))=0),$B$127,""),"")</f>
        <v/>
      </c>
      <c r="D359" s="113" t="str">
        <f>IFERROR(IF(AND(INDEX(#REF!,A359)="",OR(INDEX(#REF!,A359)&gt;0,INDEX(#REF!,A359)&gt;0,INDEX(#REF!,A359)&gt;0)),$B$152,""),"")</f>
        <v/>
      </c>
      <c r="E359" s="113" t="e">
        <f>SUBSTITUTE(IF(INDEX(#REF!,A359)&gt;IFERROR(INDEX(salaries_other_inst[Max hourly rate],MATCH(INDEX(#REF!,A359),salaries_other_inst[category],0),1),""),$B$153,""),"&lt;&lt;max_hourly_rate&gt;&gt;",TEXT(IFERROR(INDEX(salaries_other_inst[Max hourly rate],MATCH(INDEX(#REF!,A359),salaries_other_inst[category],0),1),""),"€ #"))</f>
        <v>#REF!</v>
      </c>
      <c r="F359" s="113" t="str">
        <f>IFERROR(IF(AND(INDEX(#REF!,A359)&lt;&gt;"",INDEX(#REF!,A359)=0),$B$155,""),"")</f>
        <v/>
      </c>
      <c r="G359" s="113" t="str">
        <f>IFERROR(IF(12*INDEX(#REF!,A359)/INDEX(#REF!,A359)&gt;pers_other_nrhours_year,checks!$B$156,""),"")</f>
        <v/>
      </c>
      <c r="H359" t="e">
        <f>IF(AND(organisation_type="yes",INDEX(#REF!,A359,1)&lt;&gt;"",ISBLANK(INDEX(#REF!,A359,1))),$B$146,"")</f>
        <v>#REF!</v>
      </c>
      <c r="I359" t="e">
        <f>IF(AND(organisation_name="yes",INDEX(#REF!,A359,1)&lt;&gt;"",ISBLANK(INDEX(#REF!,A359,1))),$B$147,"")</f>
        <v>#REF!</v>
      </c>
    </row>
    <row r="360" spans="1:9" hidden="1" outlineLevel="1" x14ac:dyDescent="0.35">
      <c r="A360" s="113">
        <v>49</v>
      </c>
      <c r="B360" s="113" t="str">
        <f t="array" ref="B360">IFERROR(INDEX(personnel_other_inst[[#This Row],[Empty lines]:[Name organisation]],1,MATCH(TRUE,LEN(personnel_other_inst[[#This Row],[Empty lines]:[Name organisation]])&gt;0,0)),"")</f>
        <v/>
      </c>
      <c r="C360" s="113" t="str">
        <f>IFERROR(IF(AND(LEN(INDEX(#REF!,A360))+LEN(INDEX(#REF!,A360))+LEN(INDEX(#REF!,A360))+LEN(INDEX(#REF!,A360))&gt;0,LEN(INDEX(#REF!,A360-1))+LEN(INDEX(#REF!,A360-1))+LEN(INDEX(#REF!,A360-1))+LEN(INDEX(#REF!,A360-1))=0),$B$127,""),"")</f>
        <v/>
      </c>
      <c r="D360" s="113" t="str">
        <f>IFERROR(IF(AND(INDEX(#REF!,A360)="",OR(INDEX(#REF!,A360)&gt;0,INDEX(#REF!,A360)&gt;0,INDEX(#REF!,A360)&gt;0)),$B$152,""),"")</f>
        <v/>
      </c>
      <c r="E360" s="113" t="e">
        <f>SUBSTITUTE(IF(INDEX(#REF!,A360)&gt;IFERROR(INDEX(salaries_other_inst[Max hourly rate],MATCH(INDEX(#REF!,A360),salaries_other_inst[category],0),1),""),$B$153,""),"&lt;&lt;max_hourly_rate&gt;&gt;",TEXT(IFERROR(INDEX(salaries_other_inst[Max hourly rate],MATCH(INDEX(#REF!,A360),salaries_other_inst[category],0),1),""),"€ #"))</f>
        <v>#REF!</v>
      </c>
      <c r="F360" s="113" t="str">
        <f>IFERROR(IF(AND(INDEX(#REF!,A360)&lt;&gt;"",INDEX(#REF!,A360)=0),$B$155,""),"")</f>
        <v/>
      </c>
      <c r="G360" s="113" t="str">
        <f>IFERROR(IF(12*INDEX(#REF!,A360)/INDEX(#REF!,A360)&gt;pers_other_nrhours_year,checks!$B$156,""),"")</f>
        <v/>
      </c>
      <c r="H360" t="e">
        <f>IF(AND(organisation_type="yes",INDEX(#REF!,A360,1)&lt;&gt;"",ISBLANK(INDEX(#REF!,A360,1))),$B$146,"")</f>
        <v>#REF!</v>
      </c>
      <c r="I360" t="e">
        <f>IF(AND(organisation_name="yes",INDEX(#REF!,A360,1)&lt;&gt;"",ISBLANK(INDEX(#REF!,A360,1))),$B$147,"")</f>
        <v>#REF!</v>
      </c>
    </row>
    <row r="361" spans="1:9" hidden="1" outlineLevel="1" x14ac:dyDescent="0.35">
      <c r="A361" s="113">
        <v>50</v>
      </c>
      <c r="B361" s="113" t="str">
        <f t="array" ref="B361">IFERROR(INDEX(personnel_other_inst[[#This Row],[Empty lines]:[Name organisation]],1,MATCH(TRUE,LEN(personnel_other_inst[[#This Row],[Empty lines]:[Name organisation]])&gt;0,0)),"")</f>
        <v/>
      </c>
      <c r="C361" s="113" t="str">
        <f>IFERROR(IF(AND(LEN(INDEX(#REF!,A361))+LEN(INDEX(#REF!,A361))+LEN(INDEX(#REF!,A361))+LEN(INDEX(#REF!,A361))&gt;0,LEN(INDEX(#REF!,A361-1))+LEN(INDEX(#REF!,A361-1))+LEN(INDEX(#REF!,A361-1))+LEN(INDEX(#REF!,A361-1))=0),$B$127,""),"")</f>
        <v/>
      </c>
      <c r="D361" s="113" t="str">
        <f>IFERROR(IF(AND(INDEX(#REF!,A361)="",OR(INDEX(#REF!,A361)&gt;0,INDEX(#REF!,A361)&gt;0,INDEX(#REF!,A361)&gt;0)),$B$152,""),"")</f>
        <v/>
      </c>
      <c r="E361" s="113" t="e">
        <f>SUBSTITUTE(IF(INDEX(#REF!,A361)&gt;IFERROR(INDEX(salaries_other_inst[Max hourly rate],MATCH(INDEX(#REF!,A361),salaries_other_inst[category],0),1),""),$B$153,""),"&lt;&lt;max_hourly_rate&gt;&gt;",TEXT(IFERROR(INDEX(salaries_other_inst[Max hourly rate],MATCH(INDEX(#REF!,A361),salaries_other_inst[category],0),1),""),"€ #"))</f>
        <v>#REF!</v>
      </c>
      <c r="F361" s="113" t="str">
        <f>IFERROR(IF(AND(INDEX(#REF!,A361)&lt;&gt;"",INDEX(#REF!,A361)=0),$B$155,""),"")</f>
        <v/>
      </c>
      <c r="G361" s="113" t="str">
        <f>IFERROR(IF(12*INDEX(#REF!,A361)/INDEX(#REF!,A361)&gt;pers_other_nrhours_year,checks!$B$156,""),"")</f>
        <v/>
      </c>
      <c r="H361" t="e">
        <f>IF(AND(organisation_type="yes",INDEX(#REF!,A361,1)&lt;&gt;"",ISBLANK(INDEX(#REF!,A361,1))),$B$146,"")</f>
        <v>#REF!</v>
      </c>
      <c r="I361" t="e">
        <f>IF(AND(organisation_name="yes",INDEX(#REF!,A361,1)&lt;&gt;"",ISBLANK(INDEX(#REF!,A361,1))),$B$147,"")</f>
        <v>#REF!</v>
      </c>
    </row>
    <row r="362" spans="1:9" hidden="1" outlineLevel="1" x14ac:dyDescent="0.35">
      <c r="A362" s="113">
        <v>51</v>
      </c>
      <c r="B362" s="113" t="str">
        <f t="array" ref="B362">IFERROR(INDEX(personnel_other_inst[[#This Row],[Empty lines]:[Name organisation]],1,MATCH(TRUE,LEN(personnel_other_inst[[#This Row],[Empty lines]:[Name organisation]])&gt;0,0)),"")</f>
        <v/>
      </c>
      <c r="C362" s="113" t="str">
        <f>IFERROR(IF(AND(LEN(INDEX(#REF!,A362))+LEN(INDEX(#REF!,A362))+LEN(INDEX(#REF!,A362))+LEN(INDEX(#REF!,A362))&gt;0,LEN(INDEX(#REF!,A362-1))+LEN(INDEX(#REF!,A362-1))+LEN(INDEX(#REF!,A362-1))+LEN(INDEX(#REF!,A362-1))=0),$B$127,""),"")</f>
        <v/>
      </c>
      <c r="D362" s="113" t="str">
        <f>IFERROR(IF(AND(INDEX(#REF!,A362)="",OR(INDEX(#REF!,A362)&gt;0,INDEX(#REF!,A362)&gt;0,INDEX(#REF!,A362)&gt;0)),$B$152,""),"")</f>
        <v/>
      </c>
      <c r="E362" s="113" t="e">
        <f>SUBSTITUTE(IF(INDEX(#REF!,A362)&gt;IFERROR(INDEX(salaries_other_inst[Max hourly rate],MATCH(INDEX(#REF!,A362),salaries_other_inst[category],0),1),""),$B$153,""),"&lt;&lt;max_hourly_rate&gt;&gt;",TEXT(IFERROR(INDEX(salaries_other_inst[Max hourly rate],MATCH(INDEX(#REF!,A362),salaries_other_inst[category],0),1),""),"€ #"))</f>
        <v>#REF!</v>
      </c>
      <c r="F362" s="113" t="str">
        <f>IFERROR(IF(AND(INDEX(#REF!,A362)&lt;&gt;"",INDEX(#REF!,A362)=0),$B$155,""),"")</f>
        <v/>
      </c>
      <c r="G362" s="113" t="str">
        <f>IFERROR(IF(12*INDEX(#REF!,A362)/INDEX(#REF!,A362)&gt;pers_other_nrhours_year,checks!$B$156,""),"")</f>
        <v/>
      </c>
      <c r="H362" t="e">
        <f>IF(AND(organisation_type="yes",INDEX(#REF!,A362,1)&lt;&gt;"",ISBLANK(INDEX(#REF!,A362,1))),$B$146,"")</f>
        <v>#REF!</v>
      </c>
      <c r="I362" t="e">
        <f>IF(AND(organisation_name="yes",INDEX(#REF!,A362,1)&lt;&gt;"",ISBLANK(INDEX(#REF!,A362,1))),$B$147,"")</f>
        <v>#REF!</v>
      </c>
    </row>
    <row r="363" spans="1:9" hidden="1" outlineLevel="1" x14ac:dyDescent="0.35">
      <c r="A363" s="113">
        <v>52</v>
      </c>
      <c r="B363" s="113" t="str">
        <f t="array" ref="B363">IFERROR(INDEX(personnel_other_inst[[#This Row],[Empty lines]:[Name organisation]],1,MATCH(TRUE,LEN(personnel_other_inst[[#This Row],[Empty lines]:[Name organisation]])&gt;0,0)),"")</f>
        <v/>
      </c>
      <c r="C363" s="113" t="str">
        <f>IFERROR(IF(AND(LEN(INDEX(#REF!,A363))+LEN(INDEX(#REF!,A363))+LEN(INDEX(#REF!,A363))+LEN(INDEX(#REF!,A363))&gt;0,LEN(INDEX(#REF!,A363-1))+LEN(INDEX(#REF!,A363-1))+LEN(INDEX(#REF!,A363-1))+LEN(INDEX(#REF!,A363-1))=0),$B$127,""),"")</f>
        <v/>
      </c>
      <c r="D363" s="113" t="str">
        <f>IFERROR(IF(AND(INDEX(#REF!,A363)="",OR(INDEX(#REF!,A363)&gt;0,INDEX(#REF!,A363)&gt;0,INDEX(#REF!,A363)&gt;0)),$B$152,""),"")</f>
        <v/>
      </c>
      <c r="E363" s="113" t="e">
        <f>SUBSTITUTE(IF(INDEX(#REF!,A363)&gt;IFERROR(INDEX(salaries_other_inst[Max hourly rate],MATCH(INDEX(#REF!,A363),salaries_other_inst[category],0),1),""),$B$153,""),"&lt;&lt;max_hourly_rate&gt;&gt;",TEXT(IFERROR(INDEX(salaries_other_inst[Max hourly rate],MATCH(INDEX(#REF!,A363),salaries_other_inst[category],0),1),""),"€ #"))</f>
        <v>#REF!</v>
      </c>
      <c r="F363" s="113" t="str">
        <f>IFERROR(IF(AND(INDEX(#REF!,A363)&lt;&gt;"",INDEX(#REF!,A363)=0),$B$155,""),"")</f>
        <v/>
      </c>
      <c r="G363" s="113" t="str">
        <f>IFERROR(IF(12*INDEX(#REF!,A363)/INDEX(#REF!,A363)&gt;pers_other_nrhours_year,checks!$B$156,""),"")</f>
        <v/>
      </c>
      <c r="H363" t="e">
        <f>IF(AND(organisation_type="yes",INDEX(#REF!,A363,1)&lt;&gt;"",ISBLANK(INDEX(#REF!,A363,1))),$B$146,"")</f>
        <v>#REF!</v>
      </c>
      <c r="I363" t="e">
        <f>IF(AND(organisation_name="yes",INDEX(#REF!,A363,1)&lt;&gt;"",ISBLANK(INDEX(#REF!,A363,1))),$B$147,"")</f>
        <v>#REF!</v>
      </c>
    </row>
    <row r="364" spans="1:9" hidden="1" outlineLevel="1" x14ac:dyDescent="0.35">
      <c r="A364" s="113">
        <v>53</v>
      </c>
      <c r="B364" s="113" t="str">
        <f t="array" ref="B364">IFERROR(INDEX(personnel_other_inst[[#This Row],[Empty lines]:[Name organisation]],1,MATCH(TRUE,LEN(personnel_other_inst[[#This Row],[Empty lines]:[Name organisation]])&gt;0,0)),"")</f>
        <v/>
      </c>
      <c r="C364" s="113" t="str">
        <f>IFERROR(IF(AND(LEN(INDEX(#REF!,A364))+LEN(INDEX(#REF!,A364))+LEN(INDEX(#REF!,A364))+LEN(INDEX(#REF!,A364))&gt;0,LEN(INDEX(#REF!,A364-1))+LEN(INDEX(#REF!,A364-1))+LEN(INDEX(#REF!,A364-1))+LEN(INDEX(#REF!,A364-1))=0),$B$127,""),"")</f>
        <v/>
      </c>
      <c r="D364" s="113" t="str">
        <f>IFERROR(IF(AND(INDEX(#REF!,A364)="",OR(INDEX(#REF!,A364)&gt;0,INDEX(#REF!,A364)&gt;0,INDEX(#REF!,A364)&gt;0)),$B$152,""),"")</f>
        <v/>
      </c>
      <c r="E364" s="113" t="e">
        <f>SUBSTITUTE(IF(INDEX(#REF!,A364)&gt;IFERROR(INDEX(salaries_other_inst[Max hourly rate],MATCH(INDEX(#REF!,A364),salaries_other_inst[category],0),1),""),$B$153,""),"&lt;&lt;max_hourly_rate&gt;&gt;",TEXT(IFERROR(INDEX(salaries_other_inst[Max hourly rate],MATCH(INDEX(#REF!,A364),salaries_other_inst[category],0),1),""),"€ #"))</f>
        <v>#REF!</v>
      </c>
      <c r="F364" s="113" t="str">
        <f>IFERROR(IF(AND(INDEX(#REF!,A364)&lt;&gt;"",INDEX(#REF!,A364)=0),$B$155,""),"")</f>
        <v/>
      </c>
      <c r="G364" s="113" t="str">
        <f>IFERROR(IF(12*INDEX(#REF!,A364)/INDEX(#REF!,A364)&gt;pers_other_nrhours_year,checks!$B$156,""),"")</f>
        <v/>
      </c>
      <c r="H364" t="e">
        <f>IF(AND(organisation_type="yes",INDEX(#REF!,A364,1)&lt;&gt;"",ISBLANK(INDEX(#REF!,A364,1))),$B$146,"")</f>
        <v>#REF!</v>
      </c>
      <c r="I364" t="e">
        <f>IF(AND(organisation_name="yes",INDEX(#REF!,A364,1)&lt;&gt;"",ISBLANK(INDEX(#REF!,A364,1))),$B$147,"")</f>
        <v>#REF!</v>
      </c>
    </row>
    <row r="365" spans="1:9" hidden="1" outlineLevel="1" x14ac:dyDescent="0.35">
      <c r="A365" s="113">
        <v>54</v>
      </c>
      <c r="B365" s="113" t="str">
        <f t="array" ref="B365">IFERROR(INDEX(personnel_other_inst[[#This Row],[Empty lines]:[Name organisation]],1,MATCH(TRUE,LEN(personnel_other_inst[[#This Row],[Empty lines]:[Name organisation]])&gt;0,0)),"")</f>
        <v/>
      </c>
      <c r="C365" s="113" t="str">
        <f>IFERROR(IF(AND(LEN(INDEX(#REF!,A365))+LEN(INDEX(#REF!,A365))+LEN(INDEX(#REF!,A365))+LEN(INDEX(#REF!,A365))&gt;0,LEN(INDEX(#REF!,A365-1))+LEN(INDEX(#REF!,A365-1))+LEN(INDEX(#REF!,A365-1))+LEN(INDEX(#REF!,A365-1))=0),$B$127,""),"")</f>
        <v/>
      </c>
      <c r="D365" s="113" t="str">
        <f>IFERROR(IF(AND(INDEX(#REF!,A365)="",OR(INDEX(#REF!,A365)&gt;0,INDEX(#REF!,A365)&gt;0,INDEX(#REF!,A365)&gt;0)),$B$152,""),"")</f>
        <v/>
      </c>
      <c r="E365" s="113" t="e">
        <f>SUBSTITUTE(IF(INDEX(#REF!,A365)&gt;IFERROR(INDEX(salaries_other_inst[Max hourly rate],MATCH(INDEX(#REF!,A365),salaries_other_inst[category],0),1),""),$B$153,""),"&lt;&lt;max_hourly_rate&gt;&gt;",TEXT(IFERROR(INDEX(salaries_other_inst[Max hourly rate],MATCH(INDEX(#REF!,A365),salaries_other_inst[category],0),1),""),"€ #"))</f>
        <v>#REF!</v>
      </c>
      <c r="F365" s="113" t="str">
        <f>IFERROR(IF(AND(INDEX(#REF!,A365)&lt;&gt;"",INDEX(#REF!,A365)=0),$B$155,""),"")</f>
        <v/>
      </c>
      <c r="G365" s="113" t="str">
        <f>IFERROR(IF(12*INDEX(#REF!,A365)/INDEX(#REF!,A365)&gt;pers_other_nrhours_year,checks!$B$156,""),"")</f>
        <v/>
      </c>
      <c r="H365" t="e">
        <f>IF(AND(organisation_type="yes",INDEX(#REF!,A365,1)&lt;&gt;"",ISBLANK(INDEX(#REF!,A365,1))),$B$146,"")</f>
        <v>#REF!</v>
      </c>
      <c r="I365" t="e">
        <f>IF(AND(organisation_name="yes",INDEX(#REF!,A365,1)&lt;&gt;"",ISBLANK(INDEX(#REF!,A365,1))),$B$147,"")</f>
        <v>#REF!</v>
      </c>
    </row>
    <row r="366" spans="1:9" hidden="1" outlineLevel="1" x14ac:dyDescent="0.35">
      <c r="A366" s="113">
        <v>55</v>
      </c>
      <c r="B366" s="113" t="str">
        <f t="array" ref="B366">IFERROR(INDEX(personnel_other_inst[[#This Row],[Empty lines]:[Name organisation]],1,MATCH(TRUE,LEN(personnel_other_inst[[#This Row],[Empty lines]:[Name organisation]])&gt;0,0)),"")</f>
        <v/>
      </c>
      <c r="C366" s="113" t="str">
        <f>IFERROR(IF(AND(LEN(INDEX(#REF!,A366))+LEN(INDEX(#REF!,A366))+LEN(INDEX(#REF!,A366))+LEN(INDEX(#REF!,A366))&gt;0,LEN(INDEX(#REF!,A366-1))+LEN(INDEX(#REF!,A366-1))+LEN(INDEX(#REF!,A366-1))+LEN(INDEX(#REF!,A366-1))=0),$B$127,""),"")</f>
        <v/>
      </c>
      <c r="D366" s="113" t="str">
        <f>IFERROR(IF(AND(INDEX(#REF!,A366)="",OR(INDEX(#REF!,A366)&gt;0,INDEX(#REF!,A366)&gt;0,INDEX(#REF!,A366)&gt;0)),$B$152,""),"")</f>
        <v/>
      </c>
      <c r="E366" s="113" t="e">
        <f>SUBSTITUTE(IF(INDEX(#REF!,A366)&gt;IFERROR(INDEX(salaries_other_inst[Max hourly rate],MATCH(INDEX(#REF!,A366),salaries_other_inst[category],0),1),""),$B$153,""),"&lt;&lt;max_hourly_rate&gt;&gt;",TEXT(IFERROR(INDEX(salaries_other_inst[Max hourly rate],MATCH(INDEX(#REF!,A366),salaries_other_inst[category],0),1),""),"€ #"))</f>
        <v>#REF!</v>
      </c>
      <c r="F366" s="113" t="str">
        <f>IFERROR(IF(AND(INDEX(#REF!,A366)&lt;&gt;"",INDEX(#REF!,A366)=0),$B$155,""),"")</f>
        <v/>
      </c>
      <c r="G366" s="113" t="str">
        <f>IFERROR(IF(12*INDEX(#REF!,A366)/INDEX(#REF!,A366)&gt;pers_other_nrhours_year,checks!$B$156,""),"")</f>
        <v/>
      </c>
      <c r="H366" t="e">
        <f>IF(AND(organisation_type="yes",INDEX(#REF!,A366,1)&lt;&gt;"",ISBLANK(INDEX(#REF!,A366,1))),$B$146,"")</f>
        <v>#REF!</v>
      </c>
      <c r="I366" t="e">
        <f>IF(AND(organisation_name="yes",INDEX(#REF!,A366,1)&lt;&gt;"",ISBLANK(INDEX(#REF!,A366,1))),$B$147,"")</f>
        <v>#REF!</v>
      </c>
    </row>
    <row r="367" spans="1:9" hidden="1" outlineLevel="1" x14ac:dyDescent="0.35">
      <c r="A367" s="113">
        <v>56</v>
      </c>
      <c r="B367" s="113" t="str">
        <f t="array" ref="B367">IFERROR(INDEX(personnel_other_inst[[#This Row],[Empty lines]:[Name organisation]],1,MATCH(TRUE,LEN(personnel_other_inst[[#This Row],[Empty lines]:[Name organisation]])&gt;0,0)),"")</f>
        <v/>
      </c>
      <c r="C367" s="113" t="str">
        <f>IFERROR(IF(AND(LEN(INDEX(#REF!,A367))+LEN(INDEX(#REF!,A367))+LEN(INDEX(#REF!,A367))+LEN(INDEX(#REF!,A367))&gt;0,LEN(INDEX(#REF!,A367-1))+LEN(INDEX(#REF!,A367-1))+LEN(INDEX(#REF!,A367-1))+LEN(INDEX(#REF!,A367-1))=0),$B$127,""),"")</f>
        <v/>
      </c>
      <c r="D367" s="113" t="str">
        <f>IFERROR(IF(AND(INDEX(#REF!,A367)="",OR(INDEX(#REF!,A367)&gt;0,INDEX(#REF!,A367)&gt;0,INDEX(#REF!,A367)&gt;0)),$B$152,""),"")</f>
        <v/>
      </c>
      <c r="E367" s="113" t="e">
        <f>SUBSTITUTE(IF(INDEX(#REF!,A367)&gt;IFERROR(INDEX(salaries_other_inst[Max hourly rate],MATCH(INDEX(#REF!,A367),salaries_other_inst[category],0),1),""),$B$153,""),"&lt;&lt;max_hourly_rate&gt;&gt;",TEXT(IFERROR(INDEX(salaries_other_inst[Max hourly rate],MATCH(INDEX(#REF!,A367),salaries_other_inst[category],0),1),""),"€ #"))</f>
        <v>#REF!</v>
      </c>
      <c r="F367" s="113" t="str">
        <f>IFERROR(IF(AND(INDEX(#REF!,A367)&lt;&gt;"",INDEX(#REF!,A367)=0),$B$155,""),"")</f>
        <v/>
      </c>
      <c r="G367" s="113" t="str">
        <f>IFERROR(IF(12*INDEX(#REF!,A367)/INDEX(#REF!,A367)&gt;pers_other_nrhours_year,checks!$B$156,""),"")</f>
        <v/>
      </c>
      <c r="H367" t="e">
        <f>IF(AND(organisation_type="yes",INDEX(#REF!,A367,1)&lt;&gt;"",ISBLANK(INDEX(#REF!,A367,1))),$B$146,"")</f>
        <v>#REF!</v>
      </c>
      <c r="I367" t="e">
        <f>IF(AND(organisation_name="yes",INDEX(#REF!,A367,1)&lt;&gt;"",ISBLANK(INDEX(#REF!,A367,1))),$B$147,"")</f>
        <v>#REF!</v>
      </c>
    </row>
    <row r="368" spans="1:9" hidden="1" outlineLevel="1" x14ac:dyDescent="0.35">
      <c r="A368" s="113">
        <v>57</v>
      </c>
      <c r="B368" s="113" t="str">
        <f t="array" ref="B368">IFERROR(INDEX(personnel_other_inst[[#This Row],[Empty lines]:[Name organisation]],1,MATCH(TRUE,LEN(personnel_other_inst[[#This Row],[Empty lines]:[Name organisation]])&gt;0,0)),"")</f>
        <v/>
      </c>
      <c r="C368" s="113" t="str">
        <f>IFERROR(IF(AND(LEN(INDEX(#REF!,A368))+LEN(INDEX(#REF!,A368))+LEN(INDEX(#REF!,A368))+LEN(INDEX(#REF!,A368))&gt;0,LEN(INDEX(#REF!,A368-1))+LEN(INDEX(#REF!,A368-1))+LEN(INDEX(#REF!,A368-1))+LEN(INDEX(#REF!,A368-1))=0),$B$127,""),"")</f>
        <v/>
      </c>
      <c r="D368" s="113" t="str">
        <f>IFERROR(IF(AND(INDEX(#REF!,A368)="",OR(INDEX(#REF!,A368)&gt;0,INDEX(#REF!,A368)&gt;0,INDEX(#REF!,A368)&gt;0)),$B$152,""),"")</f>
        <v/>
      </c>
      <c r="E368" s="113" t="e">
        <f>SUBSTITUTE(IF(INDEX(#REF!,A368)&gt;IFERROR(INDEX(salaries_other_inst[Max hourly rate],MATCH(INDEX(#REF!,A368),salaries_other_inst[category],0),1),""),$B$153,""),"&lt;&lt;max_hourly_rate&gt;&gt;",TEXT(IFERROR(INDEX(salaries_other_inst[Max hourly rate],MATCH(INDEX(#REF!,A368),salaries_other_inst[category],0),1),""),"€ #"))</f>
        <v>#REF!</v>
      </c>
      <c r="F368" s="113" t="str">
        <f>IFERROR(IF(AND(INDEX(#REF!,A368)&lt;&gt;"",INDEX(#REF!,A368)=0),$B$155,""),"")</f>
        <v/>
      </c>
      <c r="G368" s="113" t="str">
        <f>IFERROR(IF(12*INDEX(#REF!,A368)/INDEX(#REF!,A368)&gt;pers_other_nrhours_year,checks!$B$156,""),"")</f>
        <v/>
      </c>
      <c r="H368" t="e">
        <f>IF(AND(organisation_type="yes",INDEX(#REF!,A368,1)&lt;&gt;"",ISBLANK(INDEX(#REF!,A368,1))),$B$146,"")</f>
        <v>#REF!</v>
      </c>
      <c r="I368" t="e">
        <f>IF(AND(organisation_name="yes",INDEX(#REF!,A368,1)&lt;&gt;"",ISBLANK(INDEX(#REF!,A368,1))),$B$147,"")</f>
        <v>#REF!</v>
      </c>
    </row>
    <row r="369" spans="1:9" hidden="1" outlineLevel="1" x14ac:dyDescent="0.35">
      <c r="A369" s="113">
        <v>58</v>
      </c>
      <c r="B369" s="113" t="str">
        <f t="array" ref="B369">IFERROR(INDEX(personnel_other_inst[[#This Row],[Empty lines]:[Name organisation]],1,MATCH(TRUE,LEN(personnel_other_inst[[#This Row],[Empty lines]:[Name organisation]])&gt;0,0)),"")</f>
        <v/>
      </c>
      <c r="C369" s="113" t="str">
        <f>IFERROR(IF(AND(LEN(INDEX(#REF!,A369))+LEN(INDEX(#REF!,A369))+LEN(INDEX(#REF!,A369))+LEN(INDEX(#REF!,A369))&gt;0,LEN(INDEX(#REF!,A369-1))+LEN(INDEX(#REF!,A369-1))+LEN(INDEX(#REF!,A369-1))+LEN(INDEX(#REF!,A369-1))=0),$B$127,""),"")</f>
        <v/>
      </c>
      <c r="D369" s="113" t="str">
        <f>IFERROR(IF(AND(INDEX(#REF!,A369)="",OR(INDEX(#REF!,A369)&gt;0,INDEX(#REF!,A369)&gt;0,INDEX(#REF!,A369)&gt;0)),$B$152,""),"")</f>
        <v/>
      </c>
      <c r="E369" s="113" t="e">
        <f>SUBSTITUTE(IF(INDEX(#REF!,A369)&gt;IFERROR(INDEX(salaries_other_inst[Max hourly rate],MATCH(INDEX(#REF!,A369),salaries_other_inst[category],0),1),""),$B$153,""),"&lt;&lt;max_hourly_rate&gt;&gt;",TEXT(IFERROR(INDEX(salaries_other_inst[Max hourly rate],MATCH(INDEX(#REF!,A369),salaries_other_inst[category],0),1),""),"€ #"))</f>
        <v>#REF!</v>
      </c>
      <c r="F369" s="113" t="str">
        <f>IFERROR(IF(AND(INDEX(#REF!,A369)&lt;&gt;"",INDEX(#REF!,A369)=0),$B$155,""),"")</f>
        <v/>
      </c>
      <c r="G369" s="113" t="str">
        <f>IFERROR(IF(12*INDEX(#REF!,A369)/INDEX(#REF!,A369)&gt;pers_other_nrhours_year,checks!$B$156,""),"")</f>
        <v/>
      </c>
      <c r="H369" t="e">
        <f>IF(AND(organisation_type="yes",INDEX(#REF!,A369,1)&lt;&gt;"",ISBLANK(INDEX(#REF!,A369,1))),$B$146,"")</f>
        <v>#REF!</v>
      </c>
      <c r="I369" t="e">
        <f>IF(AND(organisation_name="yes",INDEX(#REF!,A369,1)&lt;&gt;"",ISBLANK(INDEX(#REF!,A369,1))),$B$147,"")</f>
        <v>#REF!</v>
      </c>
    </row>
    <row r="370" spans="1:9" hidden="1" outlineLevel="1" x14ac:dyDescent="0.35">
      <c r="A370" s="113">
        <v>59</v>
      </c>
      <c r="B370" s="113" t="str">
        <f t="array" ref="B370">IFERROR(INDEX(personnel_other_inst[[#This Row],[Empty lines]:[Name organisation]],1,MATCH(TRUE,LEN(personnel_other_inst[[#This Row],[Empty lines]:[Name organisation]])&gt;0,0)),"")</f>
        <v/>
      </c>
      <c r="C370" s="113" t="str">
        <f>IFERROR(IF(AND(LEN(INDEX(#REF!,A370))+LEN(INDEX(#REF!,A370))+LEN(INDEX(#REF!,A370))+LEN(INDEX(#REF!,A370))&gt;0,LEN(INDEX(#REF!,A370-1))+LEN(INDEX(#REF!,A370-1))+LEN(INDEX(#REF!,A370-1))+LEN(INDEX(#REF!,A370-1))=0),$B$127,""),"")</f>
        <v/>
      </c>
      <c r="D370" s="113" t="str">
        <f>IFERROR(IF(AND(INDEX(#REF!,A370)="",OR(INDEX(#REF!,A370)&gt;0,INDEX(#REF!,A370)&gt;0,INDEX(#REF!,A370)&gt;0)),$B$152,""),"")</f>
        <v/>
      </c>
      <c r="E370" s="113" t="e">
        <f>SUBSTITUTE(IF(INDEX(#REF!,A370)&gt;IFERROR(INDEX(salaries_other_inst[Max hourly rate],MATCH(INDEX(#REF!,A370),salaries_other_inst[category],0),1),""),$B$153,""),"&lt;&lt;max_hourly_rate&gt;&gt;",TEXT(IFERROR(INDEX(salaries_other_inst[Max hourly rate],MATCH(INDEX(#REF!,A370),salaries_other_inst[category],0),1),""),"€ #"))</f>
        <v>#REF!</v>
      </c>
      <c r="F370" s="113" t="str">
        <f>IFERROR(IF(AND(INDEX(#REF!,A370)&lt;&gt;"",INDEX(#REF!,A370)=0),$B$155,""),"")</f>
        <v/>
      </c>
      <c r="G370" s="113" t="str">
        <f>IFERROR(IF(12*INDEX(#REF!,A370)/INDEX(#REF!,A370)&gt;pers_other_nrhours_year,checks!$B$156,""),"")</f>
        <v/>
      </c>
      <c r="H370" t="e">
        <f>IF(AND(organisation_type="yes",INDEX(#REF!,A370,1)&lt;&gt;"",ISBLANK(INDEX(#REF!,A370,1))),$B$146,"")</f>
        <v>#REF!</v>
      </c>
      <c r="I370" t="e">
        <f>IF(AND(organisation_name="yes",INDEX(#REF!,A370,1)&lt;&gt;"",ISBLANK(INDEX(#REF!,A370,1))),$B$147,"")</f>
        <v>#REF!</v>
      </c>
    </row>
    <row r="371" spans="1:9" hidden="1" outlineLevel="1" x14ac:dyDescent="0.35">
      <c r="A371" s="113">
        <v>60</v>
      </c>
      <c r="B371" s="113" t="str">
        <f t="array" ref="B371">IFERROR(INDEX(personnel_other_inst[[#This Row],[Empty lines]:[Name organisation]],1,MATCH(TRUE,LEN(personnel_other_inst[[#This Row],[Empty lines]:[Name organisation]])&gt;0,0)),"")</f>
        <v/>
      </c>
      <c r="C371" s="113" t="str">
        <f>IFERROR(IF(AND(LEN(INDEX(#REF!,A371))+LEN(INDEX(#REF!,A371))+LEN(INDEX(#REF!,A371))+LEN(INDEX(#REF!,A371))&gt;0,LEN(INDEX(#REF!,A371-1))+LEN(INDEX(#REF!,A371-1))+LEN(INDEX(#REF!,A371-1))+LEN(INDEX(#REF!,A371-1))=0),$B$127,""),"")</f>
        <v/>
      </c>
      <c r="D371" s="113" t="str">
        <f>IFERROR(IF(AND(INDEX(#REF!,A371)="",OR(INDEX(#REF!,A371)&gt;0,INDEX(#REF!,A371)&gt;0,INDEX(#REF!,A371)&gt;0)),$B$152,""),"")</f>
        <v/>
      </c>
      <c r="E371" s="113" t="e">
        <f>SUBSTITUTE(IF(INDEX(#REF!,A371)&gt;IFERROR(INDEX(salaries_other_inst[Max hourly rate],MATCH(INDEX(#REF!,A371),salaries_other_inst[category],0),1),""),$B$153,""),"&lt;&lt;max_hourly_rate&gt;&gt;",TEXT(IFERROR(INDEX(salaries_other_inst[Max hourly rate],MATCH(INDEX(#REF!,A371),salaries_other_inst[category],0),1),""),"€ #"))</f>
        <v>#REF!</v>
      </c>
      <c r="F371" s="113" t="str">
        <f>IFERROR(IF(AND(INDEX(#REF!,A371)&lt;&gt;"",INDEX(#REF!,A371)=0),$B$155,""),"")</f>
        <v/>
      </c>
      <c r="G371" s="113" t="str">
        <f>IFERROR(IF(12*INDEX(#REF!,A371)/INDEX(#REF!,A371)&gt;pers_other_nrhours_year,checks!$B$156,""),"")</f>
        <v/>
      </c>
      <c r="H371" t="e">
        <f>IF(AND(organisation_type="yes",INDEX(#REF!,A371,1)&lt;&gt;"",ISBLANK(INDEX(#REF!,A371,1))),$B$146,"")</f>
        <v>#REF!</v>
      </c>
      <c r="I371" t="e">
        <f>IF(AND(organisation_name="yes",INDEX(#REF!,A371,1)&lt;&gt;"",ISBLANK(INDEX(#REF!,A371,1))),$B$147,"")</f>
        <v>#REF!</v>
      </c>
    </row>
    <row r="372" spans="1:9" hidden="1" outlineLevel="1" x14ac:dyDescent="0.35">
      <c r="A372" s="113">
        <v>61</v>
      </c>
      <c r="B372" s="113" t="str">
        <f t="array" ref="B372">IFERROR(INDEX(personnel_other_inst[[#This Row],[Empty lines]:[Name organisation]],1,MATCH(TRUE,LEN(personnel_other_inst[[#This Row],[Empty lines]:[Name organisation]])&gt;0,0)),"")</f>
        <v/>
      </c>
      <c r="C372" s="113" t="str">
        <f>IFERROR(IF(AND(LEN(INDEX(#REF!,A372))+LEN(INDEX(#REF!,A372))+LEN(INDEX(#REF!,A372))+LEN(INDEX(#REF!,A372))&gt;0,LEN(INDEX(#REF!,A372-1))+LEN(INDEX(#REF!,A372-1))+LEN(INDEX(#REF!,A372-1))+LEN(INDEX(#REF!,A372-1))=0),$B$127,""),"")</f>
        <v/>
      </c>
      <c r="D372" s="113" t="str">
        <f>IFERROR(IF(AND(INDEX(#REF!,A372)="",OR(INDEX(#REF!,A372)&gt;0,INDEX(#REF!,A372)&gt;0,INDEX(#REF!,A372)&gt;0)),$B$152,""),"")</f>
        <v/>
      </c>
      <c r="E372" s="113" t="e">
        <f>SUBSTITUTE(IF(INDEX(#REF!,A372)&gt;IFERROR(INDEX(salaries_other_inst[Max hourly rate],MATCH(INDEX(#REF!,A372),salaries_other_inst[category],0),1),""),$B$153,""),"&lt;&lt;max_hourly_rate&gt;&gt;",TEXT(IFERROR(INDEX(salaries_other_inst[Max hourly rate],MATCH(INDEX(#REF!,A372),salaries_other_inst[category],0),1),""),"€ #"))</f>
        <v>#REF!</v>
      </c>
      <c r="F372" s="113" t="str">
        <f>IFERROR(IF(AND(INDEX(#REF!,A372)&lt;&gt;"",INDEX(#REF!,A372)=0),$B$155,""),"")</f>
        <v/>
      </c>
      <c r="G372" s="113" t="str">
        <f>IFERROR(IF(12*INDEX(#REF!,A372)/INDEX(#REF!,A372)&gt;pers_other_nrhours_year,checks!$B$156,""),"")</f>
        <v/>
      </c>
      <c r="H372" t="e">
        <f>IF(AND(organisation_type="yes",INDEX(#REF!,A372,1)&lt;&gt;"",ISBLANK(INDEX(#REF!,A372,1))),$B$146,"")</f>
        <v>#REF!</v>
      </c>
      <c r="I372" t="e">
        <f>IF(AND(organisation_name="yes",INDEX(#REF!,A372,1)&lt;&gt;"",ISBLANK(INDEX(#REF!,A372,1))),$B$147,"")</f>
        <v>#REF!</v>
      </c>
    </row>
    <row r="373" spans="1:9" hidden="1" outlineLevel="1" x14ac:dyDescent="0.35">
      <c r="A373" s="113">
        <v>62</v>
      </c>
      <c r="B373" s="113" t="str">
        <f t="array" ref="B373">IFERROR(INDEX(personnel_other_inst[[#This Row],[Empty lines]:[Name organisation]],1,MATCH(TRUE,LEN(personnel_other_inst[[#This Row],[Empty lines]:[Name organisation]])&gt;0,0)),"")</f>
        <v/>
      </c>
      <c r="C373" s="113" t="str">
        <f>IFERROR(IF(AND(LEN(INDEX(#REF!,A373))+LEN(INDEX(#REF!,A373))+LEN(INDEX(#REF!,A373))+LEN(INDEX(#REF!,A373))&gt;0,LEN(INDEX(#REF!,A373-1))+LEN(INDEX(#REF!,A373-1))+LEN(INDEX(#REF!,A373-1))+LEN(INDEX(#REF!,A373-1))=0),$B$127,""),"")</f>
        <v/>
      </c>
      <c r="D373" s="113" t="str">
        <f>IFERROR(IF(AND(INDEX(#REF!,A373)="",OR(INDEX(#REF!,A373)&gt;0,INDEX(#REF!,A373)&gt;0,INDEX(#REF!,A373)&gt;0)),$B$152,""),"")</f>
        <v/>
      </c>
      <c r="E373" s="113" t="e">
        <f>SUBSTITUTE(IF(INDEX(#REF!,A373)&gt;IFERROR(INDEX(salaries_other_inst[Max hourly rate],MATCH(INDEX(#REF!,A373),salaries_other_inst[category],0),1),""),$B$153,""),"&lt;&lt;max_hourly_rate&gt;&gt;",TEXT(IFERROR(INDEX(salaries_other_inst[Max hourly rate],MATCH(INDEX(#REF!,A373),salaries_other_inst[category],0),1),""),"€ #"))</f>
        <v>#REF!</v>
      </c>
      <c r="F373" s="113" t="str">
        <f>IFERROR(IF(AND(INDEX(#REF!,A373)&lt;&gt;"",INDEX(#REF!,A373)=0),$B$155,""),"")</f>
        <v/>
      </c>
      <c r="G373" s="113" t="str">
        <f>IFERROR(IF(12*INDEX(#REF!,A373)/INDEX(#REF!,A373)&gt;pers_other_nrhours_year,checks!$B$156,""),"")</f>
        <v/>
      </c>
      <c r="H373" t="e">
        <f>IF(AND(organisation_type="yes",INDEX(#REF!,A373,1)&lt;&gt;"",ISBLANK(INDEX(#REF!,A373,1))),$B$146,"")</f>
        <v>#REF!</v>
      </c>
      <c r="I373" t="e">
        <f>IF(AND(organisation_name="yes",INDEX(#REF!,A373,1)&lt;&gt;"",ISBLANK(INDEX(#REF!,A373,1))),$B$147,"")</f>
        <v>#REF!</v>
      </c>
    </row>
    <row r="374" spans="1:9" hidden="1" outlineLevel="1" x14ac:dyDescent="0.35">
      <c r="A374" s="113">
        <v>63</v>
      </c>
      <c r="B374" s="113" t="str">
        <f t="array" ref="B374">IFERROR(INDEX(personnel_other_inst[[#This Row],[Empty lines]:[Name organisation]],1,MATCH(TRUE,LEN(personnel_other_inst[[#This Row],[Empty lines]:[Name organisation]])&gt;0,0)),"")</f>
        <v/>
      </c>
      <c r="C374" s="113" t="str">
        <f>IFERROR(IF(AND(LEN(INDEX(#REF!,A374))+LEN(INDEX(#REF!,A374))+LEN(INDEX(#REF!,A374))+LEN(INDEX(#REF!,A374))&gt;0,LEN(INDEX(#REF!,A374-1))+LEN(INDEX(#REF!,A374-1))+LEN(INDEX(#REF!,A374-1))+LEN(INDEX(#REF!,A374-1))=0),$B$127,""),"")</f>
        <v/>
      </c>
      <c r="D374" s="113" t="str">
        <f>IFERROR(IF(AND(INDEX(#REF!,A374)="",OR(INDEX(#REF!,A374)&gt;0,INDEX(#REF!,A374)&gt;0,INDEX(#REF!,A374)&gt;0)),$B$152,""),"")</f>
        <v/>
      </c>
      <c r="E374" s="113" t="e">
        <f>SUBSTITUTE(IF(INDEX(#REF!,A374)&gt;IFERROR(INDEX(salaries_other_inst[Max hourly rate],MATCH(INDEX(#REF!,A374),salaries_other_inst[category],0),1),""),$B$153,""),"&lt;&lt;max_hourly_rate&gt;&gt;",TEXT(IFERROR(INDEX(salaries_other_inst[Max hourly rate],MATCH(INDEX(#REF!,A374),salaries_other_inst[category],0),1),""),"€ #"))</f>
        <v>#REF!</v>
      </c>
      <c r="F374" s="113" t="str">
        <f>IFERROR(IF(AND(INDEX(#REF!,A374)&lt;&gt;"",INDEX(#REF!,A374)=0),$B$155,""),"")</f>
        <v/>
      </c>
      <c r="G374" s="113" t="str">
        <f>IFERROR(IF(12*INDEX(#REF!,A374)/INDEX(#REF!,A374)&gt;pers_other_nrhours_year,checks!$B$156,""),"")</f>
        <v/>
      </c>
      <c r="H374" t="e">
        <f>IF(AND(organisation_type="yes",INDEX(#REF!,A374,1)&lt;&gt;"",ISBLANK(INDEX(#REF!,A374,1))),$B$146,"")</f>
        <v>#REF!</v>
      </c>
      <c r="I374" t="e">
        <f>IF(AND(organisation_name="yes",INDEX(#REF!,A374,1)&lt;&gt;"",ISBLANK(INDEX(#REF!,A374,1))),$B$147,"")</f>
        <v>#REF!</v>
      </c>
    </row>
    <row r="375" spans="1:9" hidden="1" outlineLevel="1" x14ac:dyDescent="0.35">
      <c r="A375" s="113">
        <v>64</v>
      </c>
      <c r="B375" s="113" t="str">
        <f t="array" ref="B375">IFERROR(INDEX(personnel_other_inst[[#This Row],[Empty lines]:[Name organisation]],1,MATCH(TRUE,LEN(personnel_other_inst[[#This Row],[Empty lines]:[Name organisation]])&gt;0,0)),"")</f>
        <v/>
      </c>
      <c r="C375" s="113" t="str">
        <f>IFERROR(IF(AND(LEN(INDEX(#REF!,A375))+LEN(INDEX(#REF!,A375))+LEN(INDEX(#REF!,A375))+LEN(INDEX(#REF!,A375))&gt;0,LEN(INDEX(#REF!,A375-1))+LEN(INDEX(#REF!,A375-1))+LEN(INDEX(#REF!,A375-1))+LEN(INDEX(#REF!,A375-1))=0),$B$127,""),"")</f>
        <v/>
      </c>
      <c r="D375" s="113" t="str">
        <f>IFERROR(IF(AND(INDEX(#REF!,A375)="",OR(INDEX(#REF!,A375)&gt;0,INDEX(#REF!,A375)&gt;0,INDEX(#REF!,A375)&gt;0)),$B$152,""),"")</f>
        <v/>
      </c>
      <c r="E375" s="113" t="e">
        <f>SUBSTITUTE(IF(INDEX(#REF!,A375)&gt;IFERROR(INDEX(salaries_other_inst[Max hourly rate],MATCH(INDEX(#REF!,A375),salaries_other_inst[category],0),1),""),$B$153,""),"&lt;&lt;max_hourly_rate&gt;&gt;",TEXT(IFERROR(INDEX(salaries_other_inst[Max hourly rate],MATCH(INDEX(#REF!,A375),salaries_other_inst[category],0),1),""),"€ #"))</f>
        <v>#REF!</v>
      </c>
      <c r="F375" s="113" t="str">
        <f>IFERROR(IF(AND(INDEX(#REF!,A375)&lt;&gt;"",INDEX(#REF!,A375)=0),$B$155,""),"")</f>
        <v/>
      </c>
      <c r="G375" s="113" t="str">
        <f>IFERROR(IF(12*INDEX(#REF!,A375)/INDEX(#REF!,A375)&gt;pers_other_nrhours_year,checks!$B$156,""),"")</f>
        <v/>
      </c>
      <c r="H375" t="e">
        <f>IF(AND(organisation_type="yes",INDEX(#REF!,A375,1)&lt;&gt;"",ISBLANK(INDEX(#REF!,A375,1))),$B$146,"")</f>
        <v>#REF!</v>
      </c>
      <c r="I375" t="e">
        <f>IF(AND(organisation_name="yes",INDEX(#REF!,A375,1)&lt;&gt;"",ISBLANK(INDEX(#REF!,A375,1))),$B$147,"")</f>
        <v>#REF!</v>
      </c>
    </row>
    <row r="376" spans="1:9" hidden="1" outlineLevel="1" x14ac:dyDescent="0.35">
      <c r="A376" s="113">
        <v>65</v>
      </c>
      <c r="B376" s="113" t="str">
        <f t="array" ref="B376">IFERROR(INDEX(personnel_other_inst[[#This Row],[Empty lines]:[Name organisation]],1,MATCH(TRUE,LEN(personnel_other_inst[[#This Row],[Empty lines]:[Name organisation]])&gt;0,0)),"")</f>
        <v/>
      </c>
      <c r="C376" s="113" t="str">
        <f>IFERROR(IF(AND(LEN(INDEX(#REF!,A376))+LEN(INDEX(#REF!,A376))+LEN(INDEX(#REF!,A376))+LEN(INDEX(#REF!,A376))&gt;0,LEN(INDEX(#REF!,A376-1))+LEN(INDEX(#REF!,A376-1))+LEN(INDEX(#REF!,A376-1))+LEN(INDEX(#REF!,A376-1))=0),$B$127,""),"")</f>
        <v/>
      </c>
      <c r="D376" s="113" t="str">
        <f>IFERROR(IF(AND(INDEX(#REF!,A376)="",OR(INDEX(#REF!,A376)&gt;0,INDEX(#REF!,A376)&gt;0,INDEX(#REF!,A376)&gt;0)),$B$152,""),"")</f>
        <v/>
      </c>
      <c r="E376" s="113" t="e">
        <f>SUBSTITUTE(IF(INDEX(#REF!,A376)&gt;IFERROR(INDEX(salaries_other_inst[Max hourly rate],MATCH(INDEX(#REF!,A376),salaries_other_inst[category],0),1),""),$B$153,""),"&lt;&lt;max_hourly_rate&gt;&gt;",TEXT(IFERROR(INDEX(salaries_other_inst[Max hourly rate],MATCH(INDEX(#REF!,A376),salaries_other_inst[category],0),1),""),"€ #"))</f>
        <v>#REF!</v>
      </c>
      <c r="F376" s="113" t="str">
        <f>IFERROR(IF(AND(INDEX(#REF!,A376)&lt;&gt;"",INDEX(#REF!,A376)=0),$B$155,""),"")</f>
        <v/>
      </c>
      <c r="G376" s="113" t="str">
        <f>IFERROR(IF(12*INDEX(#REF!,A376)/INDEX(#REF!,A376)&gt;pers_other_nrhours_year,checks!$B$156,""),"")</f>
        <v/>
      </c>
      <c r="H376" t="e">
        <f>IF(AND(organisation_type="yes",INDEX(#REF!,A376,1)&lt;&gt;"",ISBLANK(INDEX(#REF!,A376,1))),$B$146,"")</f>
        <v>#REF!</v>
      </c>
      <c r="I376" t="e">
        <f>IF(AND(organisation_name="yes",INDEX(#REF!,A376,1)&lt;&gt;"",ISBLANK(INDEX(#REF!,A376,1))),$B$147,"")</f>
        <v>#REF!</v>
      </c>
    </row>
    <row r="377" spans="1:9" hidden="1" outlineLevel="1" x14ac:dyDescent="0.35">
      <c r="A377" s="113">
        <v>66</v>
      </c>
      <c r="B377" s="113" t="str">
        <f t="array" ref="B377">IFERROR(INDEX(personnel_other_inst[[#This Row],[Empty lines]:[Name organisation]],1,MATCH(TRUE,LEN(personnel_other_inst[[#This Row],[Empty lines]:[Name organisation]])&gt;0,0)),"")</f>
        <v/>
      </c>
      <c r="C377" s="113" t="str">
        <f>IFERROR(IF(AND(LEN(INDEX(#REF!,A377))+LEN(INDEX(#REF!,A377))+LEN(INDEX(#REF!,A377))+LEN(INDEX(#REF!,A377))&gt;0,LEN(INDEX(#REF!,A377-1))+LEN(INDEX(#REF!,A377-1))+LEN(INDEX(#REF!,A377-1))+LEN(INDEX(#REF!,A377-1))=0),$B$127,""),"")</f>
        <v/>
      </c>
      <c r="D377" s="113" t="str">
        <f>IFERROR(IF(AND(INDEX(#REF!,A377)="",OR(INDEX(#REF!,A377)&gt;0,INDEX(#REF!,A377)&gt;0,INDEX(#REF!,A377)&gt;0)),$B$152,""),"")</f>
        <v/>
      </c>
      <c r="E377" s="113" t="e">
        <f>SUBSTITUTE(IF(INDEX(#REF!,A377)&gt;IFERROR(INDEX(salaries_other_inst[Max hourly rate],MATCH(INDEX(#REF!,A377),salaries_other_inst[category],0),1),""),$B$153,""),"&lt;&lt;max_hourly_rate&gt;&gt;",TEXT(IFERROR(INDEX(salaries_other_inst[Max hourly rate],MATCH(INDEX(#REF!,A377),salaries_other_inst[category],0),1),""),"€ #"))</f>
        <v>#REF!</v>
      </c>
      <c r="F377" s="113" t="str">
        <f>IFERROR(IF(AND(INDEX(#REF!,A377)&lt;&gt;"",INDEX(#REF!,A377)=0),$B$155,""),"")</f>
        <v/>
      </c>
      <c r="G377" s="113" t="str">
        <f>IFERROR(IF(12*INDEX(#REF!,A377)/INDEX(#REF!,A377)&gt;pers_other_nrhours_year,checks!$B$156,""),"")</f>
        <v/>
      </c>
      <c r="H377" t="e">
        <f>IF(AND(organisation_type="yes",INDEX(#REF!,A377,1)&lt;&gt;"",ISBLANK(INDEX(#REF!,A377,1))),$B$146,"")</f>
        <v>#REF!</v>
      </c>
      <c r="I377" t="e">
        <f>IF(AND(organisation_name="yes",INDEX(#REF!,A377,1)&lt;&gt;"",ISBLANK(INDEX(#REF!,A377,1))),$B$147,"")</f>
        <v>#REF!</v>
      </c>
    </row>
    <row r="378" spans="1:9" hidden="1" outlineLevel="1" x14ac:dyDescent="0.35">
      <c r="A378" s="113">
        <v>67</v>
      </c>
      <c r="B378" s="113" t="str">
        <f t="array" ref="B378">IFERROR(INDEX(personnel_other_inst[[#This Row],[Empty lines]:[Name organisation]],1,MATCH(TRUE,LEN(personnel_other_inst[[#This Row],[Empty lines]:[Name organisation]])&gt;0,0)),"")</f>
        <v/>
      </c>
      <c r="C378" s="113" t="str">
        <f>IFERROR(IF(AND(LEN(INDEX(#REF!,A378))+LEN(INDEX(#REF!,A378))+LEN(INDEX(#REF!,A378))+LEN(INDEX(#REF!,A378))&gt;0,LEN(INDEX(#REF!,A378-1))+LEN(INDEX(#REF!,A378-1))+LEN(INDEX(#REF!,A378-1))+LEN(INDEX(#REF!,A378-1))=0),$B$127,""),"")</f>
        <v/>
      </c>
      <c r="D378" s="113" t="str">
        <f>IFERROR(IF(AND(INDEX(#REF!,A378)="",OR(INDEX(#REF!,A378)&gt;0,INDEX(#REF!,A378)&gt;0,INDEX(#REF!,A378)&gt;0)),$B$152,""),"")</f>
        <v/>
      </c>
      <c r="E378" s="113" t="e">
        <f>SUBSTITUTE(IF(INDEX(#REF!,A378)&gt;IFERROR(INDEX(salaries_other_inst[Max hourly rate],MATCH(INDEX(#REF!,A378),salaries_other_inst[category],0),1),""),$B$153,""),"&lt;&lt;max_hourly_rate&gt;&gt;",TEXT(IFERROR(INDEX(salaries_other_inst[Max hourly rate],MATCH(INDEX(#REF!,A378),salaries_other_inst[category],0),1),""),"€ #"))</f>
        <v>#REF!</v>
      </c>
      <c r="F378" s="113" t="str">
        <f>IFERROR(IF(AND(INDEX(#REF!,A378)&lt;&gt;"",INDEX(#REF!,A378)=0),$B$155,""),"")</f>
        <v/>
      </c>
      <c r="G378" s="113" t="str">
        <f>IFERROR(IF(12*INDEX(#REF!,A378)/INDEX(#REF!,A378)&gt;pers_other_nrhours_year,checks!$B$156,""),"")</f>
        <v/>
      </c>
      <c r="H378" t="e">
        <f>IF(AND(organisation_type="yes",INDEX(#REF!,A378,1)&lt;&gt;"",ISBLANK(INDEX(#REF!,A378,1))),$B$146,"")</f>
        <v>#REF!</v>
      </c>
      <c r="I378" t="e">
        <f>IF(AND(organisation_name="yes",INDEX(#REF!,A378,1)&lt;&gt;"",ISBLANK(INDEX(#REF!,A378,1))),$B$147,"")</f>
        <v>#REF!</v>
      </c>
    </row>
    <row r="379" spans="1:9" hidden="1" outlineLevel="1" x14ac:dyDescent="0.35">
      <c r="A379" s="113">
        <v>68</v>
      </c>
      <c r="B379" s="113" t="str">
        <f t="array" ref="B379">IFERROR(INDEX(personnel_other_inst[[#This Row],[Empty lines]:[Name organisation]],1,MATCH(TRUE,LEN(personnel_other_inst[[#This Row],[Empty lines]:[Name organisation]])&gt;0,0)),"")</f>
        <v/>
      </c>
      <c r="C379" s="113" t="str">
        <f>IFERROR(IF(AND(LEN(INDEX(#REF!,A379))+LEN(INDEX(#REF!,A379))+LEN(INDEX(#REF!,A379))+LEN(INDEX(#REF!,A379))&gt;0,LEN(INDEX(#REF!,A379-1))+LEN(INDEX(#REF!,A379-1))+LEN(INDEX(#REF!,A379-1))+LEN(INDEX(#REF!,A379-1))=0),$B$127,""),"")</f>
        <v/>
      </c>
      <c r="D379" s="113" t="str">
        <f>IFERROR(IF(AND(INDEX(#REF!,A379)="",OR(INDEX(#REF!,A379)&gt;0,INDEX(#REF!,A379)&gt;0,INDEX(#REF!,A379)&gt;0)),$B$152,""),"")</f>
        <v/>
      </c>
      <c r="E379" s="113" t="e">
        <f>SUBSTITUTE(IF(INDEX(#REF!,A379)&gt;IFERROR(INDEX(salaries_other_inst[Max hourly rate],MATCH(INDEX(#REF!,A379),salaries_other_inst[category],0),1),""),$B$153,""),"&lt;&lt;max_hourly_rate&gt;&gt;",TEXT(IFERROR(INDEX(salaries_other_inst[Max hourly rate],MATCH(INDEX(#REF!,A379),salaries_other_inst[category],0),1),""),"€ #"))</f>
        <v>#REF!</v>
      </c>
      <c r="F379" s="113" t="str">
        <f>IFERROR(IF(AND(INDEX(#REF!,A379)&lt;&gt;"",INDEX(#REF!,A379)=0),$B$155,""),"")</f>
        <v/>
      </c>
      <c r="G379" s="113" t="str">
        <f>IFERROR(IF(12*INDEX(#REF!,A379)/INDEX(#REF!,A379)&gt;pers_other_nrhours_year,checks!$B$156,""),"")</f>
        <v/>
      </c>
      <c r="H379" t="e">
        <f>IF(AND(organisation_type="yes",INDEX(#REF!,A379,1)&lt;&gt;"",ISBLANK(INDEX(#REF!,A379,1))),$B$146,"")</f>
        <v>#REF!</v>
      </c>
      <c r="I379" t="e">
        <f>IF(AND(organisation_name="yes",INDEX(#REF!,A379,1)&lt;&gt;"",ISBLANK(INDEX(#REF!,A379,1))),$B$147,"")</f>
        <v>#REF!</v>
      </c>
    </row>
    <row r="380" spans="1:9" hidden="1" outlineLevel="1" x14ac:dyDescent="0.35">
      <c r="A380" s="113">
        <v>69</v>
      </c>
      <c r="B380" s="113" t="str">
        <f t="array" ref="B380">IFERROR(INDEX(personnel_other_inst[[#This Row],[Empty lines]:[Name organisation]],1,MATCH(TRUE,LEN(personnel_other_inst[[#This Row],[Empty lines]:[Name organisation]])&gt;0,0)),"")</f>
        <v/>
      </c>
      <c r="C380" s="113" t="str">
        <f>IFERROR(IF(AND(LEN(INDEX(#REF!,A380))+LEN(INDEX(#REF!,A380))+LEN(INDEX(#REF!,A380))+LEN(INDEX(#REF!,A380))&gt;0,LEN(INDEX(#REF!,A380-1))+LEN(INDEX(#REF!,A380-1))+LEN(INDEX(#REF!,A380-1))+LEN(INDEX(#REF!,A380-1))=0),$B$127,""),"")</f>
        <v/>
      </c>
      <c r="D380" s="113" t="str">
        <f>IFERROR(IF(AND(INDEX(#REF!,A380)="",OR(INDEX(#REF!,A380)&gt;0,INDEX(#REF!,A380)&gt;0,INDEX(#REF!,A380)&gt;0)),$B$152,""),"")</f>
        <v/>
      </c>
      <c r="E380" s="113" t="e">
        <f>SUBSTITUTE(IF(INDEX(#REF!,A380)&gt;IFERROR(INDEX(salaries_other_inst[Max hourly rate],MATCH(INDEX(#REF!,A380),salaries_other_inst[category],0),1),""),$B$153,""),"&lt;&lt;max_hourly_rate&gt;&gt;",TEXT(IFERROR(INDEX(salaries_other_inst[Max hourly rate],MATCH(INDEX(#REF!,A380),salaries_other_inst[category],0),1),""),"€ #"))</f>
        <v>#REF!</v>
      </c>
      <c r="F380" s="113" t="str">
        <f>IFERROR(IF(AND(INDEX(#REF!,A380)&lt;&gt;"",INDEX(#REF!,A380)=0),$B$155,""),"")</f>
        <v/>
      </c>
      <c r="G380" s="113" t="str">
        <f>IFERROR(IF(12*INDEX(#REF!,A380)/INDEX(#REF!,A380)&gt;pers_other_nrhours_year,checks!$B$156,""),"")</f>
        <v/>
      </c>
      <c r="H380" t="e">
        <f>IF(AND(organisation_type="yes",INDEX(#REF!,A380,1)&lt;&gt;"",ISBLANK(INDEX(#REF!,A380,1))),$B$146,"")</f>
        <v>#REF!</v>
      </c>
      <c r="I380" t="e">
        <f>IF(AND(organisation_name="yes",INDEX(#REF!,A380,1)&lt;&gt;"",ISBLANK(INDEX(#REF!,A380,1))),$B$147,"")</f>
        <v>#REF!</v>
      </c>
    </row>
    <row r="381" spans="1:9" hidden="1" outlineLevel="1" x14ac:dyDescent="0.35">
      <c r="A381" s="113">
        <v>70</v>
      </c>
      <c r="B381" s="113" t="str">
        <f t="array" ref="B381">IFERROR(INDEX(personnel_other_inst[[#This Row],[Empty lines]:[Name organisation]],1,MATCH(TRUE,LEN(personnel_other_inst[[#This Row],[Empty lines]:[Name organisation]])&gt;0,0)),"")</f>
        <v/>
      </c>
      <c r="C381" s="113" t="str">
        <f>IFERROR(IF(AND(LEN(INDEX(#REF!,A381))+LEN(INDEX(#REF!,A381))+LEN(INDEX(#REF!,A381))+LEN(INDEX(#REF!,A381))&gt;0,LEN(INDEX(#REF!,A381-1))+LEN(INDEX(#REF!,A381-1))+LEN(INDEX(#REF!,A381-1))+LEN(INDEX(#REF!,A381-1))=0),$B$127,""),"")</f>
        <v/>
      </c>
      <c r="D381" s="113" t="str">
        <f>IFERROR(IF(AND(INDEX(#REF!,A381)="",OR(INDEX(#REF!,A381)&gt;0,INDEX(#REF!,A381)&gt;0,INDEX(#REF!,A381)&gt;0)),$B$152,""),"")</f>
        <v/>
      </c>
      <c r="E381" s="113" t="e">
        <f>SUBSTITUTE(IF(INDEX(#REF!,A381)&gt;IFERROR(INDEX(salaries_other_inst[Max hourly rate],MATCH(INDEX(#REF!,A381),salaries_other_inst[category],0),1),""),$B$153,""),"&lt;&lt;max_hourly_rate&gt;&gt;",TEXT(IFERROR(INDEX(salaries_other_inst[Max hourly rate],MATCH(INDEX(#REF!,A381),salaries_other_inst[category],0),1),""),"€ #"))</f>
        <v>#REF!</v>
      </c>
      <c r="F381" s="113" t="str">
        <f>IFERROR(IF(AND(INDEX(#REF!,A381)&lt;&gt;"",INDEX(#REF!,A381)=0),$B$155,""),"")</f>
        <v/>
      </c>
      <c r="G381" s="113" t="str">
        <f>IFERROR(IF(12*INDEX(#REF!,A381)/INDEX(#REF!,A381)&gt;pers_other_nrhours_year,checks!$B$156,""),"")</f>
        <v/>
      </c>
      <c r="H381" t="e">
        <f>IF(AND(organisation_type="yes",INDEX(#REF!,A381,1)&lt;&gt;"",ISBLANK(INDEX(#REF!,A381,1))),$B$146,"")</f>
        <v>#REF!</v>
      </c>
      <c r="I381" t="e">
        <f>IF(AND(organisation_name="yes",INDEX(#REF!,A381,1)&lt;&gt;"",ISBLANK(INDEX(#REF!,A381,1))),$B$147,"")</f>
        <v>#REF!</v>
      </c>
    </row>
    <row r="382" spans="1:9" hidden="1" outlineLevel="1" x14ac:dyDescent="0.35">
      <c r="A382" s="113">
        <v>71</v>
      </c>
      <c r="B382" s="113" t="str">
        <f t="array" ref="B382">IFERROR(INDEX(personnel_other_inst[[#This Row],[Empty lines]:[Name organisation]],1,MATCH(TRUE,LEN(personnel_other_inst[[#This Row],[Empty lines]:[Name organisation]])&gt;0,0)),"")</f>
        <v/>
      </c>
      <c r="C382" s="113" t="str">
        <f>IFERROR(IF(AND(LEN(INDEX(#REF!,A382))+LEN(INDEX(#REF!,A382))+LEN(INDEX(#REF!,A382))+LEN(INDEX(#REF!,A382))&gt;0,LEN(INDEX(#REF!,A382-1))+LEN(INDEX(#REF!,A382-1))+LEN(INDEX(#REF!,A382-1))+LEN(INDEX(#REF!,A382-1))=0),$B$127,""),"")</f>
        <v/>
      </c>
      <c r="D382" s="113" t="str">
        <f>IFERROR(IF(AND(INDEX(#REF!,A382)="",OR(INDEX(#REF!,A382)&gt;0,INDEX(#REF!,A382)&gt;0,INDEX(#REF!,A382)&gt;0)),$B$152,""),"")</f>
        <v/>
      </c>
      <c r="E382" s="113" t="e">
        <f>SUBSTITUTE(IF(INDEX(#REF!,A382)&gt;IFERROR(INDEX(salaries_other_inst[Max hourly rate],MATCH(INDEX(#REF!,A382),salaries_other_inst[category],0),1),""),$B$153,""),"&lt;&lt;max_hourly_rate&gt;&gt;",TEXT(IFERROR(INDEX(salaries_other_inst[Max hourly rate],MATCH(INDEX(#REF!,A382),salaries_other_inst[category],0),1),""),"€ #"))</f>
        <v>#REF!</v>
      </c>
      <c r="F382" s="113" t="str">
        <f>IFERROR(IF(AND(INDEX(#REF!,A382)&lt;&gt;"",INDEX(#REF!,A382)=0),$B$155,""),"")</f>
        <v/>
      </c>
      <c r="G382" s="113" t="str">
        <f>IFERROR(IF(12*INDEX(#REF!,A382)/INDEX(#REF!,A382)&gt;pers_other_nrhours_year,checks!$B$156,""),"")</f>
        <v/>
      </c>
      <c r="H382" t="e">
        <f>IF(AND(organisation_type="yes",INDEX(#REF!,A382,1)&lt;&gt;"",ISBLANK(INDEX(#REF!,A382,1))),$B$146,"")</f>
        <v>#REF!</v>
      </c>
      <c r="I382" t="e">
        <f>IF(AND(organisation_name="yes",INDEX(#REF!,A382,1)&lt;&gt;"",ISBLANK(INDEX(#REF!,A382,1))),$B$147,"")</f>
        <v>#REF!</v>
      </c>
    </row>
    <row r="383" spans="1:9" hidden="1" outlineLevel="1" x14ac:dyDescent="0.35">
      <c r="A383" s="113">
        <v>72</v>
      </c>
      <c r="B383" s="113" t="str">
        <f t="array" ref="B383">IFERROR(INDEX(personnel_other_inst[[#This Row],[Empty lines]:[Name organisation]],1,MATCH(TRUE,LEN(personnel_other_inst[[#This Row],[Empty lines]:[Name organisation]])&gt;0,0)),"")</f>
        <v/>
      </c>
      <c r="C383" s="113" t="str">
        <f>IFERROR(IF(AND(LEN(INDEX(#REF!,A383))+LEN(INDEX(#REF!,A383))+LEN(INDEX(#REF!,A383))+LEN(INDEX(#REF!,A383))&gt;0,LEN(INDEX(#REF!,A383-1))+LEN(INDEX(#REF!,A383-1))+LEN(INDEX(#REF!,A383-1))+LEN(INDEX(#REF!,A383-1))=0),$B$127,""),"")</f>
        <v/>
      </c>
      <c r="D383" s="113" t="str">
        <f>IFERROR(IF(AND(INDEX(#REF!,A383)="",OR(INDEX(#REF!,A383)&gt;0,INDEX(#REF!,A383)&gt;0,INDEX(#REF!,A383)&gt;0)),$B$152,""),"")</f>
        <v/>
      </c>
      <c r="E383" s="113" t="e">
        <f>SUBSTITUTE(IF(INDEX(#REF!,A383)&gt;IFERROR(INDEX(salaries_other_inst[Max hourly rate],MATCH(INDEX(#REF!,A383),salaries_other_inst[category],0),1),""),$B$153,""),"&lt;&lt;max_hourly_rate&gt;&gt;",TEXT(IFERROR(INDEX(salaries_other_inst[Max hourly rate],MATCH(INDEX(#REF!,A383),salaries_other_inst[category],0),1),""),"€ #"))</f>
        <v>#REF!</v>
      </c>
      <c r="F383" s="113" t="str">
        <f>IFERROR(IF(AND(INDEX(#REF!,A383)&lt;&gt;"",INDEX(#REF!,A383)=0),$B$155,""),"")</f>
        <v/>
      </c>
      <c r="G383" s="113" t="str">
        <f>IFERROR(IF(12*INDEX(#REF!,A383)/INDEX(#REF!,A383)&gt;pers_other_nrhours_year,checks!$B$156,""),"")</f>
        <v/>
      </c>
      <c r="H383" t="e">
        <f>IF(AND(organisation_type="yes",INDEX(#REF!,A383,1)&lt;&gt;"",ISBLANK(INDEX(#REF!,A383,1))),$B$146,"")</f>
        <v>#REF!</v>
      </c>
      <c r="I383" t="e">
        <f>IF(AND(organisation_name="yes",INDEX(#REF!,A383,1)&lt;&gt;"",ISBLANK(INDEX(#REF!,A383,1))),$B$147,"")</f>
        <v>#REF!</v>
      </c>
    </row>
    <row r="384" spans="1:9" hidden="1" outlineLevel="1" x14ac:dyDescent="0.35">
      <c r="A384" s="113">
        <v>73</v>
      </c>
      <c r="B384" s="113" t="str">
        <f t="array" ref="B384">IFERROR(INDEX(personnel_other_inst[[#This Row],[Empty lines]:[Name organisation]],1,MATCH(TRUE,LEN(personnel_other_inst[[#This Row],[Empty lines]:[Name organisation]])&gt;0,0)),"")</f>
        <v/>
      </c>
      <c r="C384" s="113" t="str">
        <f>IFERROR(IF(AND(LEN(INDEX(#REF!,A384))+LEN(INDEX(#REF!,A384))+LEN(INDEX(#REF!,A384))+LEN(INDEX(#REF!,A384))&gt;0,LEN(INDEX(#REF!,A384-1))+LEN(INDEX(#REF!,A384-1))+LEN(INDEX(#REF!,A384-1))+LEN(INDEX(#REF!,A384-1))=0),$B$127,""),"")</f>
        <v/>
      </c>
      <c r="D384" s="113" t="str">
        <f>IFERROR(IF(AND(INDEX(#REF!,A384)="",OR(INDEX(#REF!,A384)&gt;0,INDEX(#REF!,A384)&gt;0,INDEX(#REF!,A384)&gt;0)),$B$152,""),"")</f>
        <v/>
      </c>
      <c r="E384" s="113" t="e">
        <f>SUBSTITUTE(IF(INDEX(#REF!,A384)&gt;IFERROR(INDEX(salaries_other_inst[Max hourly rate],MATCH(INDEX(#REF!,A384),salaries_other_inst[category],0),1),""),$B$153,""),"&lt;&lt;max_hourly_rate&gt;&gt;",TEXT(IFERROR(INDEX(salaries_other_inst[Max hourly rate],MATCH(INDEX(#REF!,A384),salaries_other_inst[category],0),1),""),"€ #"))</f>
        <v>#REF!</v>
      </c>
      <c r="F384" s="113" t="str">
        <f>IFERROR(IF(AND(INDEX(#REF!,A384)&lt;&gt;"",INDEX(#REF!,A384)=0),$B$155,""),"")</f>
        <v/>
      </c>
      <c r="G384" s="113" t="str">
        <f>IFERROR(IF(12*INDEX(#REF!,A384)/INDEX(#REF!,A384)&gt;pers_other_nrhours_year,checks!$B$156,""),"")</f>
        <v/>
      </c>
      <c r="H384" t="e">
        <f>IF(AND(organisation_type="yes",INDEX(#REF!,A384,1)&lt;&gt;"",ISBLANK(INDEX(#REF!,A384,1))),$B$146,"")</f>
        <v>#REF!</v>
      </c>
      <c r="I384" t="e">
        <f>IF(AND(organisation_name="yes",INDEX(#REF!,A384,1)&lt;&gt;"",ISBLANK(INDEX(#REF!,A384,1))),$B$147,"")</f>
        <v>#REF!</v>
      </c>
    </row>
    <row r="385" spans="1:9" hidden="1" outlineLevel="1" x14ac:dyDescent="0.35">
      <c r="A385" s="113">
        <v>74</v>
      </c>
      <c r="B385" s="113" t="str">
        <f t="array" ref="B385">IFERROR(INDEX(personnel_other_inst[[#This Row],[Empty lines]:[Name organisation]],1,MATCH(TRUE,LEN(personnel_other_inst[[#This Row],[Empty lines]:[Name organisation]])&gt;0,0)),"")</f>
        <v/>
      </c>
      <c r="C385" s="113" t="str">
        <f>IFERROR(IF(AND(LEN(INDEX(#REF!,A385))+LEN(INDEX(#REF!,A385))+LEN(INDEX(#REF!,A385))+LEN(INDEX(#REF!,A385))&gt;0,LEN(INDEX(#REF!,A385-1))+LEN(INDEX(#REF!,A385-1))+LEN(INDEX(#REF!,A385-1))+LEN(INDEX(#REF!,A385-1))=0),$B$127,""),"")</f>
        <v/>
      </c>
      <c r="D385" s="113" t="str">
        <f>IFERROR(IF(AND(INDEX(#REF!,A385)="",OR(INDEX(#REF!,A385)&gt;0,INDEX(#REF!,A385)&gt;0,INDEX(#REF!,A385)&gt;0)),$B$152,""),"")</f>
        <v/>
      </c>
      <c r="E385" s="113" t="e">
        <f>SUBSTITUTE(IF(INDEX(#REF!,A385)&gt;IFERROR(INDEX(salaries_other_inst[Max hourly rate],MATCH(INDEX(#REF!,A385),salaries_other_inst[category],0),1),""),$B$153,""),"&lt;&lt;max_hourly_rate&gt;&gt;",TEXT(IFERROR(INDEX(salaries_other_inst[Max hourly rate],MATCH(INDEX(#REF!,A385),salaries_other_inst[category],0),1),""),"€ #"))</f>
        <v>#REF!</v>
      </c>
      <c r="F385" s="113" t="str">
        <f>IFERROR(IF(AND(INDEX(#REF!,A385)&lt;&gt;"",INDEX(#REF!,A385)=0),$B$155,""),"")</f>
        <v/>
      </c>
      <c r="G385" s="113" t="str">
        <f>IFERROR(IF(12*INDEX(#REF!,A385)/INDEX(#REF!,A385)&gt;pers_other_nrhours_year,checks!$B$156,""),"")</f>
        <v/>
      </c>
      <c r="H385" t="e">
        <f>IF(AND(organisation_type="yes",INDEX(#REF!,A385,1)&lt;&gt;"",ISBLANK(INDEX(#REF!,A385,1))),$B$146,"")</f>
        <v>#REF!</v>
      </c>
      <c r="I385" t="e">
        <f>IF(AND(organisation_name="yes",INDEX(#REF!,A385,1)&lt;&gt;"",ISBLANK(INDEX(#REF!,A385,1))),$B$147,"")</f>
        <v>#REF!</v>
      </c>
    </row>
    <row r="386" spans="1:9" hidden="1" outlineLevel="1" x14ac:dyDescent="0.35">
      <c r="A386" s="113">
        <v>75</v>
      </c>
      <c r="B386" s="113" t="str">
        <f t="array" ref="B386">IFERROR(INDEX(personnel_other_inst[[#This Row],[Empty lines]:[Name organisation]],1,MATCH(TRUE,LEN(personnel_other_inst[[#This Row],[Empty lines]:[Name organisation]])&gt;0,0)),"")</f>
        <v/>
      </c>
      <c r="C386" s="113" t="str">
        <f>IFERROR(IF(AND(LEN(INDEX(#REF!,A386))+LEN(INDEX(#REF!,A386))+LEN(INDEX(#REF!,A386))+LEN(INDEX(#REF!,A386))&gt;0,LEN(INDEX(#REF!,A386-1))+LEN(INDEX(#REF!,A386-1))+LEN(INDEX(#REF!,A386-1))+LEN(INDEX(#REF!,A386-1))=0),$B$127,""),"")</f>
        <v/>
      </c>
      <c r="D386" s="113" t="str">
        <f>IFERROR(IF(AND(INDEX(#REF!,A386)="",OR(INDEX(#REF!,A386)&gt;0,INDEX(#REF!,A386)&gt;0,INDEX(#REF!,A386)&gt;0)),$B$152,""),"")</f>
        <v/>
      </c>
      <c r="E386" s="113" t="e">
        <f>SUBSTITUTE(IF(INDEX(#REF!,A386)&gt;IFERROR(INDEX(salaries_other_inst[Max hourly rate],MATCH(INDEX(#REF!,A386),salaries_other_inst[category],0),1),""),$B$153,""),"&lt;&lt;max_hourly_rate&gt;&gt;",TEXT(IFERROR(INDEX(salaries_other_inst[Max hourly rate],MATCH(INDEX(#REF!,A386),salaries_other_inst[category],0),1),""),"€ #"))</f>
        <v>#REF!</v>
      </c>
      <c r="F386" s="113" t="str">
        <f>IFERROR(IF(AND(INDEX(#REF!,A386)&lt;&gt;"",INDEX(#REF!,A386)=0),$B$155,""),"")</f>
        <v/>
      </c>
      <c r="G386" s="113" t="str">
        <f>IFERROR(IF(12*INDEX(#REF!,A386)/INDEX(#REF!,A386)&gt;pers_other_nrhours_year,checks!$B$156,""),"")</f>
        <v/>
      </c>
      <c r="H386" t="e">
        <f>IF(AND(organisation_type="yes",INDEX(#REF!,A386,1)&lt;&gt;"",ISBLANK(INDEX(#REF!,A386,1))),$B$146,"")</f>
        <v>#REF!</v>
      </c>
      <c r="I386" t="e">
        <f>IF(AND(organisation_name="yes",INDEX(#REF!,A386,1)&lt;&gt;"",ISBLANK(INDEX(#REF!,A386,1))),$B$147,"")</f>
        <v>#REF!</v>
      </c>
    </row>
    <row r="387" spans="1:9" hidden="1" outlineLevel="1" x14ac:dyDescent="0.35">
      <c r="A387" s="113">
        <v>76</v>
      </c>
      <c r="B387" s="113" t="str">
        <f t="array" ref="B387">IFERROR(INDEX(personnel_other_inst[[#This Row],[Empty lines]:[Name organisation]],1,MATCH(TRUE,LEN(personnel_other_inst[[#This Row],[Empty lines]:[Name organisation]])&gt;0,0)),"")</f>
        <v/>
      </c>
      <c r="C387" s="113" t="str">
        <f>IFERROR(IF(AND(LEN(INDEX(#REF!,A387))+LEN(INDEX(#REF!,A387))+LEN(INDEX(#REF!,A387))+LEN(INDEX(#REF!,A387))&gt;0,LEN(INDEX(#REF!,A387-1))+LEN(INDEX(#REF!,A387-1))+LEN(INDEX(#REF!,A387-1))+LEN(INDEX(#REF!,A387-1))=0),$B$127,""),"")</f>
        <v/>
      </c>
      <c r="D387" s="113" t="str">
        <f>IFERROR(IF(AND(INDEX(#REF!,A387)="",OR(INDEX(#REF!,A387)&gt;0,INDEX(#REF!,A387)&gt;0,INDEX(#REF!,A387)&gt;0)),$B$152,""),"")</f>
        <v/>
      </c>
      <c r="E387" s="113" t="e">
        <f>SUBSTITUTE(IF(INDEX(#REF!,A387)&gt;IFERROR(INDEX(salaries_other_inst[Max hourly rate],MATCH(INDEX(#REF!,A387),salaries_other_inst[category],0),1),""),$B$153,""),"&lt;&lt;max_hourly_rate&gt;&gt;",TEXT(IFERROR(INDEX(salaries_other_inst[Max hourly rate],MATCH(INDEX(#REF!,A387),salaries_other_inst[category],0),1),""),"€ #"))</f>
        <v>#REF!</v>
      </c>
      <c r="F387" s="113" t="str">
        <f>IFERROR(IF(AND(INDEX(#REF!,A387)&lt;&gt;"",INDEX(#REF!,A387)=0),$B$155,""),"")</f>
        <v/>
      </c>
      <c r="G387" s="113" t="str">
        <f>IFERROR(IF(12*INDEX(#REF!,A387)/INDEX(#REF!,A387)&gt;pers_other_nrhours_year,checks!$B$156,""),"")</f>
        <v/>
      </c>
      <c r="H387" t="e">
        <f>IF(AND(organisation_type="yes",INDEX(#REF!,A387,1)&lt;&gt;"",ISBLANK(INDEX(#REF!,A387,1))),$B$146,"")</f>
        <v>#REF!</v>
      </c>
      <c r="I387" t="e">
        <f>IF(AND(organisation_name="yes",INDEX(#REF!,A387,1)&lt;&gt;"",ISBLANK(INDEX(#REF!,A387,1))),$B$147,"")</f>
        <v>#REF!</v>
      </c>
    </row>
    <row r="388" spans="1:9" hidden="1" outlineLevel="1" x14ac:dyDescent="0.35">
      <c r="A388" s="113">
        <v>77</v>
      </c>
      <c r="B388" s="113" t="str">
        <f t="array" ref="B388">IFERROR(INDEX(personnel_other_inst[[#This Row],[Empty lines]:[Name organisation]],1,MATCH(TRUE,LEN(personnel_other_inst[[#This Row],[Empty lines]:[Name organisation]])&gt;0,0)),"")</f>
        <v/>
      </c>
      <c r="C388" s="113" t="str">
        <f>IFERROR(IF(AND(LEN(INDEX(#REF!,A388))+LEN(INDEX(#REF!,A388))+LEN(INDEX(#REF!,A388))+LEN(INDEX(#REF!,A388))&gt;0,LEN(INDEX(#REF!,A388-1))+LEN(INDEX(#REF!,A388-1))+LEN(INDEX(#REF!,A388-1))+LEN(INDEX(#REF!,A388-1))=0),$B$127,""),"")</f>
        <v/>
      </c>
      <c r="D388" s="113" t="str">
        <f>IFERROR(IF(AND(INDEX(#REF!,A388)="",OR(INDEX(#REF!,A388)&gt;0,INDEX(#REF!,A388)&gt;0,INDEX(#REF!,A388)&gt;0)),$B$152,""),"")</f>
        <v/>
      </c>
      <c r="E388" s="113" t="e">
        <f>SUBSTITUTE(IF(INDEX(#REF!,A388)&gt;IFERROR(INDEX(salaries_other_inst[Max hourly rate],MATCH(INDEX(#REF!,A388),salaries_other_inst[category],0),1),""),$B$153,""),"&lt;&lt;max_hourly_rate&gt;&gt;",TEXT(IFERROR(INDEX(salaries_other_inst[Max hourly rate],MATCH(INDEX(#REF!,A388),salaries_other_inst[category],0),1),""),"€ #"))</f>
        <v>#REF!</v>
      </c>
      <c r="F388" s="113" t="str">
        <f>IFERROR(IF(AND(INDEX(#REF!,A388)&lt;&gt;"",INDEX(#REF!,A388)=0),$B$155,""),"")</f>
        <v/>
      </c>
      <c r="G388" s="113" t="str">
        <f>IFERROR(IF(12*INDEX(#REF!,A388)/INDEX(#REF!,A388)&gt;pers_other_nrhours_year,checks!$B$156,""),"")</f>
        <v/>
      </c>
      <c r="H388" t="e">
        <f>IF(AND(organisation_type="yes",INDEX(#REF!,A388,1)&lt;&gt;"",ISBLANK(INDEX(#REF!,A388,1))),$B$146,"")</f>
        <v>#REF!</v>
      </c>
      <c r="I388" t="e">
        <f>IF(AND(organisation_name="yes",INDEX(#REF!,A388,1)&lt;&gt;"",ISBLANK(INDEX(#REF!,A388,1))),$B$147,"")</f>
        <v>#REF!</v>
      </c>
    </row>
    <row r="389" spans="1:9" hidden="1" outlineLevel="1" x14ac:dyDescent="0.35">
      <c r="A389" s="113">
        <v>78</v>
      </c>
      <c r="B389" s="113" t="str">
        <f t="array" ref="B389">IFERROR(INDEX(personnel_other_inst[[#This Row],[Empty lines]:[Name organisation]],1,MATCH(TRUE,LEN(personnel_other_inst[[#This Row],[Empty lines]:[Name organisation]])&gt;0,0)),"")</f>
        <v/>
      </c>
      <c r="C389" s="113" t="str">
        <f>IFERROR(IF(AND(LEN(INDEX(#REF!,A389))+LEN(INDEX(#REF!,A389))+LEN(INDEX(#REF!,A389))+LEN(INDEX(#REF!,A389))&gt;0,LEN(INDEX(#REF!,A389-1))+LEN(INDEX(#REF!,A389-1))+LEN(INDEX(#REF!,A389-1))+LEN(INDEX(#REF!,A389-1))=0),$B$127,""),"")</f>
        <v/>
      </c>
      <c r="D389" s="113" t="str">
        <f>IFERROR(IF(AND(INDEX(#REF!,A389)="",OR(INDEX(#REF!,A389)&gt;0,INDEX(#REF!,A389)&gt;0,INDEX(#REF!,A389)&gt;0)),$B$152,""),"")</f>
        <v/>
      </c>
      <c r="E389" s="113" t="e">
        <f>SUBSTITUTE(IF(INDEX(#REF!,A389)&gt;IFERROR(INDEX(salaries_other_inst[Max hourly rate],MATCH(INDEX(#REF!,A389),salaries_other_inst[category],0),1),""),$B$153,""),"&lt;&lt;max_hourly_rate&gt;&gt;",TEXT(IFERROR(INDEX(salaries_other_inst[Max hourly rate],MATCH(INDEX(#REF!,A389),salaries_other_inst[category],0),1),""),"€ #"))</f>
        <v>#REF!</v>
      </c>
      <c r="F389" s="113" t="str">
        <f>IFERROR(IF(AND(INDEX(#REF!,A389)&lt;&gt;"",INDEX(#REF!,A389)=0),$B$155,""),"")</f>
        <v/>
      </c>
      <c r="G389" s="113" t="str">
        <f>IFERROR(IF(12*INDEX(#REF!,A389)/INDEX(#REF!,A389)&gt;pers_other_nrhours_year,checks!$B$156,""),"")</f>
        <v/>
      </c>
      <c r="H389" t="e">
        <f>IF(AND(organisation_type="yes",INDEX(#REF!,A389,1)&lt;&gt;"",ISBLANK(INDEX(#REF!,A389,1))),$B$146,"")</f>
        <v>#REF!</v>
      </c>
      <c r="I389" t="e">
        <f>IF(AND(organisation_name="yes",INDEX(#REF!,A389,1)&lt;&gt;"",ISBLANK(INDEX(#REF!,A389,1))),$B$147,"")</f>
        <v>#REF!</v>
      </c>
    </row>
    <row r="390" spans="1:9" hidden="1" outlineLevel="1" x14ac:dyDescent="0.35">
      <c r="A390" s="113">
        <v>79</v>
      </c>
      <c r="B390" s="113" t="str">
        <f t="array" ref="B390">IFERROR(INDEX(personnel_other_inst[[#This Row],[Empty lines]:[Name organisation]],1,MATCH(TRUE,LEN(personnel_other_inst[[#This Row],[Empty lines]:[Name organisation]])&gt;0,0)),"")</f>
        <v/>
      </c>
      <c r="C390" s="113" t="str">
        <f>IFERROR(IF(AND(LEN(INDEX(#REF!,A390))+LEN(INDEX(#REF!,A390))+LEN(INDEX(#REF!,A390))+LEN(INDEX(#REF!,A390))&gt;0,LEN(INDEX(#REF!,A390-1))+LEN(INDEX(#REF!,A390-1))+LEN(INDEX(#REF!,A390-1))+LEN(INDEX(#REF!,A390-1))=0),$B$127,""),"")</f>
        <v/>
      </c>
      <c r="D390" s="113" t="str">
        <f>IFERROR(IF(AND(INDEX(#REF!,A390)="",OR(INDEX(#REF!,A390)&gt;0,INDEX(#REF!,A390)&gt;0,INDEX(#REF!,A390)&gt;0)),$B$152,""),"")</f>
        <v/>
      </c>
      <c r="E390" s="113" t="e">
        <f>SUBSTITUTE(IF(INDEX(#REF!,A390)&gt;IFERROR(INDEX(salaries_other_inst[Max hourly rate],MATCH(INDEX(#REF!,A390),salaries_other_inst[category],0),1),""),$B$153,""),"&lt;&lt;max_hourly_rate&gt;&gt;",TEXT(IFERROR(INDEX(salaries_other_inst[Max hourly rate],MATCH(INDEX(#REF!,A390),salaries_other_inst[category],0),1),""),"€ #"))</f>
        <v>#REF!</v>
      </c>
      <c r="F390" s="113" t="str">
        <f>IFERROR(IF(AND(INDEX(#REF!,A390)&lt;&gt;"",INDEX(#REF!,A390)=0),$B$155,""),"")</f>
        <v/>
      </c>
      <c r="G390" s="113" t="str">
        <f>IFERROR(IF(12*INDEX(#REF!,A390)/INDEX(#REF!,A390)&gt;pers_other_nrhours_year,checks!$B$156,""),"")</f>
        <v/>
      </c>
      <c r="H390" t="e">
        <f>IF(AND(organisation_type="yes",INDEX(#REF!,A390,1)&lt;&gt;"",ISBLANK(INDEX(#REF!,A390,1))),$B$146,"")</f>
        <v>#REF!</v>
      </c>
      <c r="I390" t="e">
        <f>IF(AND(organisation_name="yes",INDEX(#REF!,A390,1)&lt;&gt;"",ISBLANK(INDEX(#REF!,A390,1))),$B$147,"")</f>
        <v>#REF!</v>
      </c>
    </row>
    <row r="391" spans="1:9" hidden="1" outlineLevel="1" x14ac:dyDescent="0.35">
      <c r="A391" s="113">
        <v>80</v>
      </c>
      <c r="B391" s="113" t="str">
        <f t="array" ref="B391">IFERROR(INDEX(personnel_other_inst[[#This Row],[Empty lines]:[Name organisation]],1,MATCH(TRUE,LEN(personnel_other_inst[[#This Row],[Empty lines]:[Name organisation]])&gt;0,0)),"")</f>
        <v/>
      </c>
      <c r="C391" s="113" t="str">
        <f>IFERROR(IF(AND(LEN(INDEX(#REF!,A391))+LEN(INDEX(#REF!,A391))+LEN(INDEX(#REF!,A391))+LEN(INDEX(#REF!,A391))&gt;0,LEN(INDEX(#REF!,A391-1))+LEN(INDEX(#REF!,A391-1))+LEN(INDEX(#REF!,A391-1))+LEN(INDEX(#REF!,A391-1))=0),$B$127,""),"")</f>
        <v/>
      </c>
      <c r="D391" s="113" t="str">
        <f>IFERROR(IF(AND(INDEX(#REF!,A391)="",OR(INDEX(#REF!,A391)&gt;0,INDEX(#REF!,A391)&gt;0,INDEX(#REF!,A391)&gt;0)),$B$152,""),"")</f>
        <v/>
      </c>
      <c r="E391" s="113" t="e">
        <f>SUBSTITUTE(IF(INDEX(#REF!,A391)&gt;IFERROR(INDEX(salaries_other_inst[Max hourly rate],MATCH(INDEX(#REF!,A391),salaries_other_inst[category],0),1),""),$B$153,""),"&lt;&lt;max_hourly_rate&gt;&gt;",TEXT(IFERROR(INDEX(salaries_other_inst[Max hourly rate],MATCH(INDEX(#REF!,A391),salaries_other_inst[category],0),1),""),"€ #"))</f>
        <v>#REF!</v>
      </c>
      <c r="F391" s="113" t="str">
        <f>IFERROR(IF(AND(INDEX(#REF!,A391)&lt;&gt;"",INDEX(#REF!,A391)=0),$B$155,""),"")</f>
        <v/>
      </c>
      <c r="G391" s="113" t="str">
        <f>IFERROR(IF(12*INDEX(#REF!,A391)/INDEX(#REF!,A391)&gt;pers_other_nrhours_year,checks!$B$156,""),"")</f>
        <v/>
      </c>
      <c r="H391" t="e">
        <f>IF(AND(organisation_type="yes",INDEX(#REF!,A391,1)&lt;&gt;"",ISBLANK(INDEX(#REF!,A391,1))),$B$146,"")</f>
        <v>#REF!</v>
      </c>
      <c r="I391" t="e">
        <f>IF(AND(organisation_name="yes",INDEX(#REF!,A391,1)&lt;&gt;"",ISBLANK(INDEX(#REF!,A391,1))),$B$147,"")</f>
        <v>#REF!</v>
      </c>
    </row>
    <row r="392" spans="1:9" hidden="1" outlineLevel="1" x14ac:dyDescent="0.35">
      <c r="A392" s="113">
        <v>81</v>
      </c>
      <c r="B392" s="113" t="str">
        <f t="array" ref="B392">IFERROR(INDEX(personnel_other_inst[[#This Row],[Empty lines]:[Name organisation]],1,MATCH(TRUE,LEN(personnel_other_inst[[#This Row],[Empty lines]:[Name organisation]])&gt;0,0)),"")</f>
        <v/>
      </c>
      <c r="C392" s="113" t="str">
        <f>IFERROR(IF(AND(LEN(INDEX(#REF!,A392))+LEN(INDEX(#REF!,A392))+LEN(INDEX(#REF!,A392))+LEN(INDEX(#REF!,A392))&gt;0,LEN(INDEX(#REF!,A392-1))+LEN(INDEX(#REF!,A392-1))+LEN(INDEX(#REF!,A392-1))+LEN(INDEX(#REF!,A392-1))=0),$B$127,""),"")</f>
        <v/>
      </c>
      <c r="D392" s="113" t="str">
        <f>IFERROR(IF(AND(INDEX(#REF!,A392)="",OR(INDEX(#REF!,A392)&gt;0,INDEX(#REF!,A392)&gt;0,INDEX(#REF!,A392)&gt;0)),$B$152,""),"")</f>
        <v/>
      </c>
      <c r="E392" s="113" t="e">
        <f>SUBSTITUTE(IF(INDEX(#REF!,A392)&gt;IFERROR(INDEX(salaries_other_inst[Max hourly rate],MATCH(INDEX(#REF!,A392),salaries_other_inst[category],0),1),""),$B$153,""),"&lt;&lt;max_hourly_rate&gt;&gt;",TEXT(IFERROR(INDEX(salaries_other_inst[Max hourly rate],MATCH(INDEX(#REF!,A392),salaries_other_inst[category],0),1),""),"€ #"))</f>
        <v>#REF!</v>
      </c>
      <c r="F392" s="113" t="str">
        <f>IFERROR(IF(AND(INDEX(#REF!,A392)&lt;&gt;"",INDEX(#REF!,A392)=0),$B$155,""),"")</f>
        <v/>
      </c>
      <c r="G392" s="113" t="str">
        <f>IFERROR(IF(12*INDEX(#REF!,A392)/INDEX(#REF!,A392)&gt;pers_other_nrhours_year,checks!$B$156,""),"")</f>
        <v/>
      </c>
      <c r="H392" t="e">
        <f>IF(AND(organisation_type="yes",INDEX(#REF!,A392,1)&lt;&gt;"",ISBLANK(INDEX(#REF!,A392,1))),$B$146,"")</f>
        <v>#REF!</v>
      </c>
      <c r="I392" t="e">
        <f>IF(AND(organisation_name="yes",INDEX(#REF!,A392,1)&lt;&gt;"",ISBLANK(INDEX(#REF!,A392,1))),$B$147,"")</f>
        <v>#REF!</v>
      </c>
    </row>
    <row r="393" spans="1:9" hidden="1" outlineLevel="1" x14ac:dyDescent="0.35">
      <c r="A393" s="113">
        <v>82</v>
      </c>
      <c r="B393" s="113" t="str">
        <f t="array" ref="B393">IFERROR(INDEX(personnel_other_inst[[#This Row],[Empty lines]:[Name organisation]],1,MATCH(TRUE,LEN(personnel_other_inst[[#This Row],[Empty lines]:[Name organisation]])&gt;0,0)),"")</f>
        <v/>
      </c>
      <c r="C393" s="113" t="str">
        <f>IFERROR(IF(AND(LEN(INDEX(#REF!,A393))+LEN(INDEX(#REF!,A393))+LEN(INDEX(#REF!,A393))+LEN(INDEX(#REF!,A393))&gt;0,LEN(INDEX(#REF!,A393-1))+LEN(INDEX(#REF!,A393-1))+LEN(INDEX(#REF!,A393-1))+LEN(INDEX(#REF!,A393-1))=0),$B$127,""),"")</f>
        <v/>
      </c>
      <c r="D393" s="113" t="str">
        <f>IFERROR(IF(AND(INDEX(#REF!,A393)="",OR(INDEX(#REF!,A393)&gt;0,INDEX(#REF!,A393)&gt;0,INDEX(#REF!,A393)&gt;0)),$B$152,""),"")</f>
        <v/>
      </c>
      <c r="E393" s="113" t="e">
        <f>SUBSTITUTE(IF(INDEX(#REF!,A393)&gt;IFERROR(INDEX(salaries_other_inst[Max hourly rate],MATCH(INDEX(#REF!,A393),salaries_other_inst[category],0),1),""),$B$153,""),"&lt;&lt;max_hourly_rate&gt;&gt;",TEXT(IFERROR(INDEX(salaries_other_inst[Max hourly rate],MATCH(INDEX(#REF!,A393),salaries_other_inst[category],0),1),""),"€ #"))</f>
        <v>#REF!</v>
      </c>
      <c r="F393" s="113" t="str">
        <f>IFERROR(IF(AND(INDEX(#REF!,A393)&lt;&gt;"",INDEX(#REF!,A393)=0),$B$155,""),"")</f>
        <v/>
      </c>
      <c r="G393" s="113" t="str">
        <f>IFERROR(IF(12*INDEX(#REF!,A393)/INDEX(#REF!,A393)&gt;pers_other_nrhours_year,checks!$B$156,""),"")</f>
        <v/>
      </c>
      <c r="H393" t="e">
        <f>IF(AND(organisation_type="yes",INDEX(#REF!,A393,1)&lt;&gt;"",ISBLANK(INDEX(#REF!,A393,1))),$B$146,"")</f>
        <v>#REF!</v>
      </c>
      <c r="I393" t="e">
        <f>IF(AND(organisation_name="yes",INDEX(#REF!,A393,1)&lt;&gt;"",ISBLANK(INDEX(#REF!,A393,1))),$B$147,"")</f>
        <v>#REF!</v>
      </c>
    </row>
    <row r="394" spans="1:9" hidden="1" outlineLevel="1" x14ac:dyDescent="0.35">
      <c r="A394" s="113">
        <v>83</v>
      </c>
      <c r="B394" s="113" t="str">
        <f t="array" ref="B394">IFERROR(INDEX(personnel_other_inst[[#This Row],[Empty lines]:[Name organisation]],1,MATCH(TRUE,LEN(personnel_other_inst[[#This Row],[Empty lines]:[Name organisation]])&gt;0,0)),"")</f>
        <v/>
      </c>
      <c r="C394" s="113" t="str">
        <f>IFERROR(IF(AND(LEN(INDEX(#REF!,A394))+LEN(INDEX(#REF!,A394))+LEN(INDEX(#REF!,A394))+LEN(INDEX(#REF!,A394))&gt;0,LEN(INDEX(#REF!,A394-1))+LEN(INDEX(#REF!,A394-1))+LEN(INDEX(#REF!,A394-1))+LEN(INDEX(#REF!,A394-1))=0),$B$127,""),"")</f>
        <v/>
      </c>
      <c r="D394" s="113" t="str">
        <f>IFERROR(IF(AND(INDEX(#REF!,A394)="",OR(INDEX(#REF!,A394)&gt;0,INDEX(#REF!,A394)&gt;0,INDEX(#REF!,A394)&gt;0)),$B$152,""),"")</f>
        <v/>
      </c>
      <c r="E394" s="113" t="e">
        <f>SUBSTITUTE(IF(INDEX(#REF!,A394)&gt;IFERROR(INDEX(salaries_other_inst[Max hourly rate],MATCH(INDEX(#REF!,A394),salaries_other_inst[category],0),1),""),$B$153,""),"&lt;&lt;max_hourly_rate&gt;&gt;",TEXT(IFERROR(INDEX(salaries_other_inst[Max hourly rate],MATCH(INDEX(#REF!,A394),salaries_other_inst[category],0),1),""),"€ #"))</f>
        <v>#REF!</v>
      </c>
      <c r="F394" s="113" t="str">
        <f>IFERROR(IF(AND(INDEX(#REF!,A394)&lt;&gt;"",INDEX(#REF!,A394)=0),$B$155,""),"")</f>
        <v/>
      </c>
      <c r="G394" s="113" t="str">
        <f>IFERROR(IF(12*INDEX(#REF!,A394)/INDEX(#REF!,A394)&gt;pers_other_nrhours_year,checks!$B$156,""),"")</f>
        <v/>
      </c>
      <c r="H394" t="e">
        <f>IF(AND(organisation_type="yes",INDEX(#REF!,A394,1)&lt;&gt;"",ISBLANK(INDEX(#REF!,A394,1))),$B$146,"")</f>
        <v>#REF!</v>
      </c>
      <c r="I394" t="e">
        <f>IF(AND(organisation_name="yes",INDEX(#REF!,A394,1)&lt;&gt;"",ISBLANK(INDEX(#REF!,A394,1))),$B$147,"")</f>
        <v>#REF!</v>
      </c>
    </row>
    <row r="395" spans="1:9" hidden="1" outlineLevel="1" x14ac:dyDescent="0.35">
      <c r="A395" s="113">
        <v>84</v>
      </c>
      <c r="B395" s="113" t="str">
        <f t="array" ref="B395">IFERROR(INDEX(personnel_other_inst[[#This Row],[Empty lines]:[Name organisation]],1,MATCH(TRUE,LEN(personnel_other_inst[[#This Row],[Empty lines]:[Name organisation]])&gt;0,0)),"")</f>
        <v/>
      </c>
      <c r="C395" s="113" t="str">
        <f>IFERROR(IF(AND(LEN(INDEX(#REF!,A395))+LEN(INDEX(#REF!,A395))+LEN(INDEX(#REF!,A395))+LEN(INDEX(#REF!,A395))&gt;0,LEN(INDEX(#REF!,A395-1))+LEN(INDEX(#REF!,A395-1))+LEN(INDEX(#REF!,A395-1))+LEN(INDEX(#REF!,A395-1))=0),$B$127,""),"")</f>
        <v/>
      </c>
      <c r="D395" s="113" t="str">
        <f>IFERROR(IF(AND(INDEX(#REF!,A395)="",OR(INDEX(#REF!,A395)&gt;0,INDEX(#REF!,A395)&gt;0,INDEX(#REF!,A395)&gt;0)),$B$152,""),"")</f>
        <v/>
      </c>
      <c r="E395" s="113" t="e">
        <f>SUBSTITUTE(IF(INDEX(#REF!,A395)&gt;IFERROR(INDEX(salaries_other_inst[Max hourly rate],MATCH(INDEX(#REF!,A395),salaries_other_inst[category],0),1),""),$B$153,""),"&lt;&lt;max_hourly_rate&gt;&gt;",TEXT(IFERROR(INDEX(salaries_other_inst[Max hourly rate],MATCH(INDEX(#REF!,A395),salaries_other_inst[category],0),1),""),"€ #"))</f>
        <v>#REF!</v>
      </c>
      <c r="F395" s="113" t="str">
        <f>IFERROR(IF(AND(INDEX(#REF!,A395)&lt;&gt;"",INDEX(#REF!,A395)=0),$B$155,""),"")</f>
        <v/>
      </c>
      <c r="G395" s="113" t="str">
        <f>IFERROR(IF(12*INDEX(#REF!,A395)/INDEX(#REF!,A395)&gt;pers_other_nrhours_year,checks!$B$156,""),"")</f>
        <v/>
      </c>
      <c r="H395" t="e">
        <f>IF(AND(organisation_type="yes",INDEX(#REF!,A395,1)&lt;&gt;"",ISBLANK(INDEX(#REF!,A395,1))),$B$146,"")</f>
        <v>#REF!</v>
      </c>
      <c r="I395" t="e">
        <f>IF(AND(organisation_name="yes",INDEX(#REF!,A395,1)&lt;&gt;"",ISBLANK(INDEX(#REF!,A395,1))),$B$147,"")</f>
        <v>#REF!</v>
      </c>
    </row>
    <row r="396" spans="1:9" hidden="1" outlineLevel="1" x14ac:dyDescent="0.35">
      <c r="A396" s="113">
        <v>85</v>
      </c>
      <c r="B396" s="113" t="str">
        <f t="array" ref="B396">IFERROR(INDEX(personnel_other_inst[[#This Row],[Empty lines]:[Name organisation]],1,MATCH(TRUE,LEN(personnel_other_inst[[#This Row],[Empty lines]:[Name organisation]])&gt;0,0)),"")</f>
        <v/>
      </c>
      <c r="C396" s="113" t="str">
        <f>IFERROR(IF(AND(LEN(INDEX(#REF!,A396))+LEN(INDEX(#REF!,A396))+LEN(INDEX(#REF!,A396))+LEN(INDEX(#REF!,A396))&gt;0,LEN(INDEX(#REF!,A396-1))+LEN(INDEX(#REF!,A396-1))+LEN(INDEX(#REF!,A396-1))+LEN(INDEX(#REF!,A396-1))=0),$B$127,""),"")</f>
        <v/>
      </c>
      <c r="D396" s="113" t="str">
        <f>IFERROR(IF(AND(INDEX(#REF!,A396)="",OR(INDEX(#REF!,A396)&gt;0,INDEX(#REF!,A396)&gt;0,INDEX(#REF!,A396)&gt;0)),$B$152,""),"")</f>
        <v/>
      </c>
      <c r="E396" s="113" t="e">
        <f>SUBSTITUTE(IF(INDEX(#REF!,A396)&gt;IFERROR(INDEX(salaries_other_inst[Max hourly rate],MATCH(INDEX(#REF!,A396),salaries_other_inst[category],0),1),""),$B$153,""),"&lt;&lt;max_hourly_rate&gt;&gt;",TEXT(IFERROR(INDEX(salaries_other_inst[Max hourly rate],MATCH(INDEX(#REF!,A396),salaries_other_inst[category],0),1),""),"€ #"))</f>
        <v>#REF!</v>
      </c>
      <c r="F396" s="113" t="str">
        <f>IFERROR(IF(AND(INDEX(#REF!,A396)&lt;&gt;"",INDEX(#REF!,A396)=0),$B$155,""),"")</f>
        <v/>
      </c>
      <c r="G396" s="113" t="str">
        <f>IFERROR(IF(12*INDEX(#REF!,A396)/INDEX(#REF!,A396)&gt;pers_other_nrhours_year,checks!$B$156,""),"")</f>
        <v/>
      </c>
      <c r="H396" t="e">
        <f>IF(AND(organisation_type="yes",INDEX(#REF!,A396,1)&lt;&gt;"",ISBLANK(INDEX(#REF!,A396,1))),$B$146,"")</f>
        <v>#REF!</v>
      </c>
      <c r="I396" t="e">
        <f>IF(AND(organisation_name="yes",INDEX(#REF!,A396,1)&lt;&gt;"",ISBLANK(INDEX(#REF!,A396,1))),$B$147,"")</f>
        <v>#REF!</v>
      </c>
    </row>
    <row r="397" spans="1:9" hidden="1" outlineLevel="1" x14ac:dyDescent="0.35">
      <c r="A397" s="113">
        <v>86</v>
      </c>
      <c r="B397" s="113" t="str">
        <f t="array" ref="B397">IFERROR(INDEX(personnel_other_inst[[#This Row],[Empty lines]:[Name organisation]],1,MATCH(TRUE,LEN(personnel_other_inst[[#This Row],[Empty lines]:[Name organisation]])&gt;0,0)),"")</f>
        <v/>
      </c>
      <c r="C397" s="113" t="str">
        <f>IFERROR(IF(AND(LEN(INDEX(#REF!,A397))+LEN(INDEX(#REF!,A397))+LEN(INDEX(#REF!,A397))+LEN(INDEX(#REF!,A397))&gt;0,LEN(INDEX(#REF!,A397-1))+LEN(INDEX(#REF!,A397-1))+LEN(INDEX(#REF!,A397-1))+LEN(INDEX(#REF!,A397-1))=0),$B$127,""),"")</f>
        <v/>
      </c>
      <c r="D397" s="113" t="str">
        <f>IFERROR(IF(AND(INDEX(#REF!,A397)="",OR(INDEX(#REF!,A397)&gt;0,INDEX(#REF!,A397)&gt;0,INDEX(#REF!,A397)&gt;0)),$B$152,""),"")</f>
        <v/>
      </c>
      <c r="E397" s="113" t="e">
        <f>SUBSTITUTE(IF(INDEX(#REF!,A397)&gt;IFERROR(INDEX(salaries_other_inst[Max hourly rate],MATCH(INDEX(#REF!,A397),salaries_other_inst[category],0),1),""),$B$153,""),"&lt;&lt;max_hourly_rate&gt;&gt;",TEXT(IFERROR(INDEX(salaries_other_inst[Max hourly rate],MATCH(INDEX(#REF!,A397),salaries_other_inst[category],0),1),""),"€ #"))</f>
        <v>#REF!</v>
      </c>
      <c r="F397" s="113" t="str">
        <f>IFERROR(IF(AND(INDEX(#REF!,A397)&lt;&gt;"",INDEX(#REF!,A397)=0),$B$155,""),"")</f>
        <v/>
      </c>
      <c r="G397" s="113" t="str">
        <f>IFERROR(IF(12*INDEX(#REF!,A397)/INDEX(#REF!,A397)&gt;pers_other_nrhours_year,checks!$B$156,""),"")</f>
        <v/>
      </c>
      <c r="H397" t="e">
        <f>IF(AND(organisation_type="yes",INDEX(#REF!,A397,1)&lt;&gt;"",ISBLANK(INDEX(#REF!,A397,1))),$B$146,"")</f>
        <v>#REF!</v>
      </c>
      <c r="I397" t="e">
        <f>IF(AND(organisation_name="yes",INDEX(#REF!,A397,1)&lt;&gt;"",ISBLANK(INDEX(#REF!,A397,1))),$B$147,"")</f>
        <v>#REF!</v>
      </c>
    </row>
    <row r="398" spans="1:9" hidden="1" outlineLevel="1" x14ac:dyDescent="0.35">
      <c r="A398" s="113">
        <v>87</v>
      </c>
      <c r="B398" s="113" t="str">
        <f t="array" ref="B398">IFERROR(INDEX(personnel_other_inst[[#This Row],[Empty lines]:[Name organisation]],1,MATCH(TRUE,LEN(personnel_other_inst[[#This Row],[Empty lines]:[Name organisation]])&gt;0,0)),"")</f>
        <v/>
      </c>
      <c r="C398" s="113" t="str">
        <f>IFERROR(IF(AND(LEN(INDEX(#REF!,A398))+LEN(INDEX(#REF!,A398))+LEN(INDEX(#REF!,A398))+LEN(INDEX(#REF!,A398))&gt;0,LEN(INDEX(#REF!,A398-1))+LEN(INDEX(#REF!,A398-1))+LEN(INDEX(#REF!,A398-1))+LEN(INDEX(#REF!,A398-1))=0),$B$127,""),"")</f>
        <v/>
      </c>
      <c r="D398" s="113" t="str">
        <f>IFERROR(IF(AND(INDEX(#REF!,A398)="",OR(INDEX(#REF!,A398)&gt;0,INDEX(#REF!,A398)&gt;0,INDEX(#REF!,A398)&gt;0)),$B$152,""),"")</f>
        <v/>
      </c>
      <c r="E398" s="113" t="e">
        <f>SUBSTITUTE(IF(INDEX(#REF!,A398)&gt;IFERROR(INDEX(salaries_other_inst[Max hourly rate],MATCH(INDEX(#REF!,A398),salaries_other_inst[category],0),1),""),$B$153,""),"&lt;&lt;max_hourly_rate&gt;&gt;",TEXT(IFERROR(INDEX(salaries_other_inst[Max hourly rate],MATCH(INDEX(#REF!,A398),salaries_other_inst[category],0),1),""),"€ #"))</f>
        <v>#REF!</v>
      </c>
      <c r="F398" s="113" t="str">
        <f>IFERROR(IF(AND(INDEX(#REF!,A398)&lt;&gt;"",INDEX(#REF!,A398)=0),$B$155,""),"")</f>
        <v/>
      </c>
      <c r="G398" s="113" t="str">
        <f>IFERROR(IF(12*INDEX(#REF!,A398)/INDEX(#REF!,A398)&gt;pers_other_nrhours_year,checks!$B$156,""),"")</f>
        <v/>
      </c>
      <c r="H398" t="e">
        <f>IF(AND(organisation_type="yes",INDEX(#REF!,A398,1)&lt;&gt;"",ISBLANK(INDEX(#REF!,A398,1))),$B$146,"")</f>
        <v>#REF!</v>
      </c>
      <c r="I398" t="e">
        <f>IF(AND(organisation_name="yes",INDEX(#REF!,A398,1)&lt;&gt;"",ISBLANK(INDEX(#REF!,A398,1))),$B$147,"")</f>
        <v>#REF!</v>
      </c>
    </row>
    <row r="399" spans="1:9" hidden="1" outlineLevel="1" x14ac:dyDescent="0.35">
      <c r="A399" s="113">
        <v>88</v>
      </c>
      <c r="B399" s="113" t="str">
        <f t="array" ref="B399">IFERROR(INDEX(personnel_other_inst[[#This Row],[Empty lines]:[Name organisation]],1,MATCH(TRUE,LEN(personnel_other_inst[[#This Row],[Empty lines]:[Name organisation]])&gt;0,0)),"")</f>
        <v/>
      </c>
      <c r="C399" s="113" t="str">
        <f>IFERROR(IF(AND(LEN(INDEX(#REF!,A399))+LEN(INDEX(#REF!,A399))+LEN(INDEX(#REF!,A399))+LEN(INDEX(#REF!,A399))&gt;0,LEN(INDEX(#REF!,A399-1))+LEN(INDEX(#REF!,A399-1))+LEN(INDEX(#REF!,A399-1))+LEN(INDEX(#REF!,A399-1))=0),$B$127,""),"")</f>
        <v/>
      </c>
      <c r="D399" s="113" t="str">
        <f>IFERROR(IF(AND(INDEX(#REF!,A399)="",OR(INDEX(#REF!,A399)&gt;0,INDEX(#REF!,A399)&gt;0,INDEX(#REF!,A399)&gt;0)),$B$152,""),"")</f>
        <v/>
      </c>
      <c r="E399" s="113" t="e">
        <f>SUBSTITUTE(IF(INDEX(#REF!,A399)&gt;IFERROR(INDEX(salaries_other_inst[Max hourly rate],MATCH(INDEX(#REF!,A399),salaries_other_inst[category],0),1),""),$B$153,""),"&lt;&lt;max_hourly_rate&gt;&gt;",TEXT(IFERROR(INDEX(salaries_other_inst[Max hourly rate],MATCH(INDEX(#REF!,A399),salaries_other_inst[category],0),1),""),"€ #"))</f>
        <v>#REF!</v>
      </c>
      <c r="F399" s="113" t="str">
        <f>IFERROR(IF(AND(INDEX(#REF!,A399)&lt;&gt;"",INDEX(#REF!,A399)=0),$B$155,""),"")</f>
        <v/>
      </c>
      <c r="G399" s="113" t="str">
        <f>IFERROR(IF(12*INDEX(#REF!,A399)/INDEX(#REF!,A399)&gt;pers_other_nrhours_year,checks!$B$156,""),"")</f>
        <v/>
      </c>
      <c r="H399" t="e">
        <f>IF(AND(organisation_type="yes",INDEX(#REF!,A399,1)&lt;&gt;"",ISBLANK(INDEX(#REF!,A399,1))),$B$146,"")</f>
        <v>#REF!</v>
      </c>
      <c r="I399" t="e">
        <f>IF(AND(organisation_name="yes",INDEX(#REF!,A399,1)&lt;&gt;"",ISBLANK(INDEX(#REF!,A399,1))),$B$147,"")</f>
        <v>#REF!</v>
      </c>
    </row>
    <row r="400" spans="1:9" hidden="1" outlineLevel="1" x14ac:dyDescent="0.35">
      <c r="A400" s="113">
        <v>89</v>
      </c>
      <c r="B400" s="113" t="str">
        <f t="array" ref="B400">IFERROR(INDEX(personnel_other_inst[[#This Row],[Empty lines]:[Name organisation]],1,MATCH(TRUE,LEN(personnel_other_inst[[#This Row],[Empty lines]:[Name organisation]])&gt;0,0)),"")</f>
        <v/>
      </c>
      <c r="C400" s="113" t="str">
        <f>IFERROR(IF(AND(LEN(INDEX(#REF!,A400))+LEN(INDEX(#REF!,A400))+LEN(INDEX(#REF!,A400))+LEN(INDEX(#REF!,A400))&gt;0,LEN(INDEX(#REF!,A400-1))+LEN(INDEX(#REF!,A400-1))+LEN(INDEX(#REF!,A400-1))+LEN(INDEX(#REF!,A400-1))=0),$B$127,""),"")</f>
        <v/>
      </c>
      <c r="D400" s="113" t="str">
        <f>IFERROR(IF(AND(INDEX(#REF!,A400)="",OR(INDEX(#REF!,A400)&gt;0,INDEX(#REF!,A400)&gt;0,INDEX(#REF!,A400)&gt;0)),$B$152,""),"")</f>
        <v/>
      </c>
      <c r="E400" s="113" t="e">
        <f>SUBSTITUTE(IF(INDEX(#REF!,A400)&gt;IFERROR(INDEX(salaries_other_inst[Max hourly rate],MATCH(INDEX(#REF!,A400),salaries_other_inst[category],0),1),""),$B$153,""),"&lt;&lt;max_hourly_rate&gt;&gt;",TEXT(IFERROR(INDEX(salaries_other_inst[Max hourly rate],MATCH(INDEX(#REF!,A400),salaries_other_inst[category],0),1),""),"€ #"))</f>
        <v>#REF!</v>
      </c>
      <c r="F400" s="113" t="str">
        <f>IFERROR(IF(AND(INDEX(#REF!,A400)&lt;&gt;"",INDEX(#REF!,A400)=0),$B$155,""),"")</f>
        <v/>
      </c>
      <c r="G400" s="113" t="str">
        <f>IFERROR(IF(12*INDEX(#REF!,A400)/INDEX(#REF!,A400)&gt;pers_other_nrhours_year,checks!$B$156,""),"")</f>
        <v/>
      </c>
      <c r="H400" t="e">
        <f>IF(AND(organisation_type="yes",INDEX(#REF!,A400,1)&lt;&gt;"",ISBLANK(INDEX(#REF!,A400,1))),$B$146,"")</f>
        <v>#REF!</v>
      </c>
      <c r="I400" t="e">
        <f>IF(AND(organisation_name="yes",INDEX(#REF!,A400,1)&lt;&gt;"",ISBLANK(INDEX(#REF!,A400,1))),$B$147,"")</f>
        <v>#REF!</v>
      </c>
    </row>
    <row r="401" spans="1:9" hidden="1" outlineLevel="1" x14ac:dyDescent="0.35">
      <c r="A401" s="113">
        <v>90</v>
      </c>
      <c r="B401" s="113" t="str">
        <f t="array" ref="B401">IFERROR(INDEX(personnel_other_inst[[#This Row],[Empty lines]:[Name organisation]],1,MATCH(TRUE,LEN(personnel_other_inst[[#This Row],[Empty lines]:[Name organisation]])&gt;0,0)),"")</f>
        <v/>
      </c>
      <c r="C401" s="113" t="str">
        <f>IFERROR(IF(AND(LEN(INDEX(#REF!,A401))+LEN(INDEX(#REF!,A401))+LEN(INDEX(#REF!,A401))+LEN(INDEX(#REF!,A401))&gt;0,LEN(INDEX(#REF!,A401-1))+LEN(INDEX(#REF!,A401-1))+LEN(INDEX(#REF!,A401-1))+LEN(INDEX(#REF!,A401-1))=0),$B$127,""),"")</f>
        <v/>
      </c>
      <c r="D401" s="113" t="str">
        <f>IFERROR(IF(AND(INDEX(#REF!,A401)="",OR(INDEX(#REF!,A401)&gt;0,INDEX(#REF!,A401)&gt;0,INDEX(#REF!,A401)&gt;0)),$B$152,""),"")</f>
        <v/>
      </c>
      <c r="E401" s="113" t="e">
        <f>SUBSTITUTE(IF(INDEX(#REF!,A401)&gt;IFERROR(INDEX(salaries_other_inst[Max hourly rate],MATCH(INDEX(#REF!,A401),salaries_other_inst[category],0),1),""),$B$153,""),"&lt;&lt;max_hourly_rate&gt;&gt;",TEXT(IFERROR(INDEX(salaries_other_inst[Max hourly rate],MATCH(INDEX(#REF!,A401),salaries_other_inst[category],0),1),""),"€ #"))</f>
        <v>#REF!</v>
      </c>
      <c r="F401" s="113" t="str">
        <f>IFERROR(IF(AND(INDEX(#REF!,A401)&lt;&gt;"",INDEX(#REF!,A401)=0),$B$155,""),"")</f>
        <v/>
      </c>
      <c r="G401" s="113" t="str">
        <f>IFERROR(IF(12*INDEX(#REF!,A401)/INDEX(#REF!,A401)&gt;pers_other_nrhours_year,checks!$B$156,""),"")</f>
        <v/>
      </c>
      <c r="H401" t="e">
        <f>IF(AND(organisation_type="yes",INDEX(#REF!,A401,1)&lt;&gt;"",ISBLANK(INDEX(#REF!,A401,1))),$B$146,"")</f>
        <v>#REF!</v>
      </c>
      <c r="I401" t="e">
        <f>IF(AND(organisation_name="yes",INDEX(#REF!,A401,1)&lt;&gt;"",ISBLANK(INDEX(#REF!,A401,1))),$B$147,"")</f>
        <v>#REF!</v>
      </c>
    </row>
    <row r="402" spans="1:9" hidden="1" outlineLevel="1" x14ac:dyDescent="0.35">
      <c r="A402" s="113">
        <v>91</v>
      </c>
      <c r="B402" s="113" t="str">
        <f t="array" ref="B402">IFERROR(INDEX(personnel_other_inst[[#This Row],[Empty lines]:[Name organisation]],1,MATCH(TRUE,LEN(personnel_other_inst[[#This Row],[Empty lines]:[Name organisation]])&gt;0,0)),"")</f>
        <v/>
      </c>
      <c r="C402" s="113" t="str">
        <f>IFERROR(IF(AND(LEN(INDEX(#REF!,A402))+LEN(INDEX(#REF!,A402))+LEN(INDEX(#REF!,A402))+LEN(INDEX(#REF!,A402))&gt;0,LEN(INDEX(#REF!,A402-1))+LEN(INDEX(#REF!,A402-1))+LEN(INDEX(#REF!,A402-1))+LEN(INDEX(#REF!,A402-1))=0),$B$127,""),"")</f>
        <v/>
      </c>
      <c r="D402" s="113" t="str">
        <f>IFERROR(IF(AND(INDEX(#REF!,A402)="",OR(INDEX(#REF!,A402)&gt;0,INDEX(#REF!,A402)&gt;0,INDEX(#REF!,A402)&gt;0)),$B$152,""),"")</f>
        <v/>
      </c>
      <c r="E402" s="113" t="e">
        <f>SUBSTITUTE(IF(INDEX(#REF!,A402)&gt;IFERROR(INDEX(salaries_other_inst[Max hourly rate],MATCH(INDEX(#REF!,A402),salaries_other_inst[category],0),1),""),$B$153,""),"&lt;&lt;max_hourly_rate&gt;&gt;",TEXT(IFERROR(INDEX(salaries_other_inst[Max hourly rate],MATCH(INDEX(#REF!,A402),salaries_other_inst[category],0),1),""),"€ #"))</f>
        <v>#REF!</v>
      </c>
      <c r="F402" s="113" t="str">
        <f>IFERROR(IF(AND(INDEX(#REF!,A402)&lt;&gt;"",INDEX(#REF!,A402)=0),$B$155,""),"")</f>
        <v/>
      </c>
      <c r="G402" s="113" t="str">
        <f>IFERROR(IF(12*INDEX(#REF!,A402)/INDEX(#REF!,A402)&gt;pers_other_nrhours_year,checks!$B$156,""),"")</f>
        <v/>
      </c>
      <c r="H402" t="e">
        <f>IF(AND(organisation_type="yes",INDEX(#REF!,A402,1)&lt;&gt;"",ISBLANK(INDEX(#REF!,A402,1))),$B$146,"")</f>
        <v>#REF!</v>
      </c>
      <c r="I402" t="e">
        <f>IF(AND(organisation_name="yes",INDEX(#REF!,A402,1)&lt;&gt;"",ISBLANK(INDEX(#REF!,A402,1))),$B$147,"")</f>
        <v>#REF!</v>
      </c>
    </row>
    <row r="403" spans="1:9" hidden="1" outlineLevel="1" x14ac:dyDescent="0.35">
      <c r="A403" s="113">
        <v>92</v>
      </c>
      <c r="B403" s="113" t="str">
        <f t="array" ref="B403">IFERROR(INDEX(personnel_other_inst[[#This Row],[Empty lines]:[Name organisation]],1,MATCH(TRUE,LEN(personnel_other_inst[[#This Row],[Empty lines]:[Name organisation]])&gt;0,0)),"")</f>
        <v/>
      </c>
      <c r="C403" s="113" t="str">
        <f>IFERROR(IF(AND(LEN(INDEX(#REF!,A403))+LEN(INDEX(#REF!,A403))+LEN(INDEX(#REF!,A403))+LEN(INDEX(#REF!,A403))&gt;0,LEN(INDEX(#REF!,A403-1))+LEN(INDEX(#REF!,A403-1))+LEN(INDEX(#REF!,A403-1))+LEN(INDEX(#REF!,A403-1))=0),$B$127,""),"")</f>
        <v/>
      </c>
      <c r="D403" s="113" t="str">
        <f>IFERROR(IF(AND(INDEX(#REF!,A403)="",OR(INDEX(#REF!,A403)&gt;0,INDEX(#REF!,A403)&gt;0,INDEX(#REF!,A403)&gt;0)),$B$152,""),"")</f>
        <v/>
      </c>
      <c r="E403" s="113" t="e">
        <f>SUBSTITUTE(IF(INDEX(#REF!,A403)&gt;IFERROR(INDEX(salaries_other_inst[Max hourly rate],MATCH(INDEX(#REF!,A403),salaries_other_inst[category],0),1),""),$B$153,""),"&lt;&lt;max_hourly_rate&gt;&gt;",TEXT(IFERROR(INDEX(salaries_other_inst[Max hourly rate],MATCH(INDEX(#REF!,A403),salaries_other_inst[category],0),1),""),"€ #"))</f>
        <v>#REF!</v>
      </c>
      <c r="F403" s="113" t="str">
        <f>IFERROR(IF(AND(INDEX(#REF!,A403)&lt;&gt;"",INDEX(#REF!,A403)=0),$B$155,""),"")</f>
        <v/>
      </c>
      <c r="G403" s="113" t="str">
        <f>IFERROR(IF(12*INDEX(#REF!,A403)/INDEX(#REF!,A403)&gt;pers_other_nrhours_year,checks!$B$156,""),"")</f>
        <v/>
      </c>
      <c r="H403" t="e">
        <f>IF(AND(organisation_type="yes",INDEX(#REF!,A403,1)&lt;&gt;"",ISBLANK(INDEX(#REF!,A403,1))),$B$146,"")</f>
        <v>#REF!</v>
      </c>
      <c r="I403" t="e">
        <f>IF(AND(organisation_name="yes",INDEX(#REF!,A403,1)&lt;&gt;"",ISBLANK(INDEX(#REF!,A403,1))),$B$147,"")</f>
        <v>#REF!</v>
      </c>
    </row>
    <row r="404" spans="1:9" hidden="1" outlineLevel="1" x14ac:dyDescent="0.35">
      <c r="A404" s="113">
        <v>93</v>
      </c>
      <c r="B404" s="113" t="str">
        <f t="array" ref="B404">IFERROR(INDEX(personnel_other_inst[[#This Row],[Empty lines]:[Name organisation]],1,MATCH(TRUE,LEN(personnel_other_inst[[#This Row],[Empty lines]:[Name organisation]])&gt;0,0)),"")</f>
        <v/>
      </c>
      <c r="C404" s="113" t="str">
        <f>IFERROR(IF(AND(LEN(INDEX(#REF!,A404))+LEN(INDEX(#REF!,A404))+LEN(INDEX(#REF!,A404))+LEN(INDEX(#REF!,A404))&gt;0,LEN(INDEX(#REF!,A404-1))+LEN(INDEX(#REF!,A404-1))+LEN(INDEX(#REF!,A404-1))+LEN(INDEX(#REF!,A404-1))=0),$B$127,""),"")</f>
        <v/>
      </c>
      <c r="D404" s="113" t="str">
        <f>IFERROR(IF(AND(INDEX(#REF!,A404)="",OR(INDEX(#REF!,A404)&gt;0,INDEX(#REF!,A404)&gt;0,INDEX(#REF!,A404)&gt;0)),$B$152,""),"")</f>
        <v/>
      </c>
      <c r="E404" s="113" t="e">
        <f>SUBSTITUTE(IF(INDEX(#REF!,A404)&gt;IFERROR(INDEX(salaries_other_inst[Max hourly rate],MATCH(INDEX(#REF!,A404),salaries_other_inst[category],0),1),""),$B$153,""),"&lt;&lt;max_hourly_rate&gt;&gt;",TEXT(IFERROR(INDEX(salaries_other_inst[Max hourly rate],MATCH(INDEX(#REF!,A404),salaries_other_inst[category],0),1),""),"€ #"))</f>
        <v>#REF!</v>
      </c>
      <c r="F404" s="113" t="str">
        <f>IFERROR(IF(AND(INDEX(#REF!,A404)&lt;&gt;"",INDEX(#REF!,A404)=0),$B$155,""),"")</f>
        <v/>
      </c>
      <c r="G404" s="113" t="str">
        <f>IFERROR(IF(12*INDEX(#REF!,A404)/INDEX(#REF!,A404)&gt;pers_other_nrhours_year,checks!$B$156,""),"")</f>
        <v/>
      </c>
      <c r="H404" t="e">
        <f>IF(AND(organisation_type="yes",INDEX(#REF!,A404,1)&lt;&gt;"",ISBLANK(INDEX(#REF!,A404,1))),$B$146,"")</f>
        <v>#REF!</v>
      </c>
      <c r="I404" t="e">
        <f>IF(AND(organisation_name="yes",INDEX(#REF!,A404,1)&lt;&gt;"",ISBLANK(INDEX(#REF!,A404,1))),$B$147,"")</f>
        <v>#REF!</v>
      </c>
    </row>
    <row r="405" spans="1:9" hidden="1" outlineLevel="1" x14ac:dyDescent="0.35">
      <c r="A405" s="113">
        <v>94</v>
      </c>
      <c r="B405" s="113" t="str">
        <f t="array" ref="B405">IFERROR(INDEX(personnel_other_inst[[#This Row],[Empty lines]:[Name organisation]],1,MATCH(TRUE,LEN(personnel_other_inst[[#This Row],[Empty lines]:[Name organisation]])&gt;0,0)),"")</f>
        <v/>
      </c>
      <c r="C405" s="113" t="str">
        <f>IFERROR(IF(AND(LEN(INDEX(#REF!,A405))+LEN(INDEX(#REF!,A405))+LEN(INDEX(#REF!,A405))+LEN(INDEX(#REF!,A405))&gt;0,LEN(INDEX(#REF!,A405-1))+LEN(INDEX(#REF!,A405-1))+LEN(INDEX(#REF!,A405-1))+LEN(INDEX(#REF!,A405-1))=0),$B$127,""),"")</f>
        <v/>
      </c>
      <c r="D405" s="113" t="str">
        <f>IFERROR(IF(AND(INDEX(#REF!,A405)="",OR(INDEX(#REF!,A405)&gt;0,INDEX(#REF!,A405)&gt;0,INDEX(#REF!,A405)&gt;0)),$B$152,""),"")</f>
        <v/>
      </c>
      <c r="E405" s="113" t="e">
        <f>SUBSTITUTE(IF(INDEX(#REF!,A405)&gt;IFERROR(INDEX(salaries_other_inst[Max hourly rate],MATCH(INDEX(#REF!,A405),salaries_other_inst[category],0),1),""),$B$153,""),"&lt;&lt;max_hourly_rate&gt;&gt;",TEXT(IFERROR(INDEX(salaries_other_inst[Max hourly rate],MATCH(INDEX(#REF!,A405),salaries_other_inst[category],0),1),""),"€ #"))</f>
        <v>#REF!</v>
      </c>
      <c r="F405" s="113" t="str">
        <f>IFERROR(IF(AND(INDEX(#REF!,A405)&lt;&gt;"",INDEX(#REF!,A405)=0),$B$155,""),"")</f>
        <v/>
      </c>
      <c r="G405" s="113" t="str">
        <f>IFERROR(IF(12*INDEX(#REF!,A405)/INDEX(#REF!,A405)&gt;pers_other_nrhours_year,checks!$B$156,""),"")</f>
        <v/>
      </c>
      <c r="H405" t="e">
        <f>IF(AND(organisation_type="yes",INDEX(#REF!,A405,1)&lt;&gt;"",ISBLANK(INDEX(#REF!,A405,1))),$B$146,"")</f>
        <v>#REF!</v>
      </c>
      <c r="I405" t="e">
        <f>IF(AND(organisation_name="yes",INDEX(#REF!,A405,1)&lt;&gt;"",ISBLANK(INDEX(#REF!,A405,1))),$B$147,"")</f>
        <v>#REF!</v>
      </c>
    </row>
    <row r="406" spans="1:9" hidden="1" outlineLevel="1" x14ac:dyDescent="0.35">
      <c r="A406" s="113">
        <v>95</v>
      </c>
      <c r="B406" s="113" t="str">
        <f t="array" ref="B406">IFERROR(INDEX(personnel_other_inst[[#This Row],[Empty lines]:[Name organisation]],1,MATCH(TRUE,LEN(personnel_other_inst[[#This Row],[Empty lines]:[Name organisation]])&gt;0,0)),"")</f>
        <v/>
      </c>
      <c r="C406" s="113" t="str">
        <f>IFERROR(IF(AND(LEN(INDEX(#REF!,A406))+LEN(INDEX(#REF!,A406))+LEN(INDEX(#REF!,A406))+LEN(INDEX(#REF!,A406))&gt;0,LEN(INDEX(#REF!,A406-1))+LEN(INDEX(#REF!,A406-1))+LEN(INDEX(#REF!,A406-1))+LEN(INDEX(#REF!,A406-1))=0),$B$127,""),"")</f>
        <v/>
      </c>
      <c r="D406" s="113" t="str">
        <f>IFERROR(IF(AND(INDEX(#REF!,A406)="",OR(INDEX(#REF!,A406)&gt;0,INDEX(#REF!,A406)&gt;0,INDEX(#REF!,A406)&gt;0)),$B$152,""),"")</f>
        <v/>
      </c>
      <c r="E406" s="113" t="e">
        <f>SUBSTITUTE(IF(INDEX(#REF!,A406)&gt;IFERROR(INDEX(salaries_other_inst[Max hourly rate],MATCH(INDEX(#REF!,A406),salaries_other_inst[category],0),1),""),$B$153,""),"&lt;&lt;max_hourly_rate&gt;&gt;",TEXT(IFERROR(INDEX(salaries_other_inst[Max hourly rate],MATCH(INDEX(#REF!,A406),salaries_other_inst[category],0),1),""),"€ #"))</f>
        <v>#REF!</v>
      </c>
      <c r="F406" s="113" t="str">
        <f>IFERROR(IF(AND(INDEX(#REF!,A406)&lt;&gt;"",INDEX(#REF!,A406)=0),$B$155,""),"")</f>
        <v/>
      </c>
      <c r="G406" s="113" t="str">
        <f>IFERROR(IF(12*INDEX(#REF!,A406)/INDEX(#REF!,A406)&gt;pers_other_nrhours_year,checks!$B$156,""),"")</f>
        <v/>
      </c>
      <c r="H406" t="e">
        <f>IF(AND(organisation_type="yes",INDEX(#REF!,A406,1)&lt;&gt;"",ISBLANK(INDEX(#REF!,A406,1))),$B$146,"")</f>
        <v>#REF!</v>
      </c>
      <c r="I406" t="e">
        <f>IF(AND(organisation_name="yes",INDEX(#REF!,A406,1)&lt;&gt;"",ISBLANK(INDEX(#REF!,A406,1))),$B$147,"")</f>
        <v>#REF!</v>
      </c>
    </row>
    <row r="407" spans="1:9" hidden="1" outlineLevel="1" x14ac:dyDescent="0.35">
      <c r="A407" s="113">
        <v>96</v>
      </c>
      <c r="B407" s="113" t="str">
        <f t="array" ref="B407">IFERROR(INDEX(personnel_other_inst[[#This Row],[Empty lines]:[Name organisation]],1,MATCH(TRUE,LEN(personnel_other_inst[[#This Row],[Empty lines]:[Name organisation]])&gt;0,0)),"")</f>
        <v/>
      </c>
      <c r="C407" s="113" t="str">
        <f>IFERROR(IF(AND(LEN(INDEX(#REF!,A407))+LEN(INDEX(#REF!,A407))+LEN(INDEX(#REF!,A407))+LEN(INDEX(#REF!,A407))&gt;0,LEN(INDEX(#REF!,A407-1))+LEN(INDEX(#REF!,A407-1))+LEN(INDEX(#REF!,A407-1))+LEN(INDEX(#REF!,A407-1))=0),$B$127,""),"")</f>
        <v/>
      </c>
      <c r="D407" s="113" t="str">
        <f>IFERROR(IF(AND(INDEX(#REF!,A407)="",OR(INDEX(#REF!,A407)&gt;0,INDEX(#REF!,A407)&gt;0,INDEX(#REF!,A407)&gt;0)),$B$152,""),"")</f>
        <v/>
      </c>
      <c r="E407" s="113" t="e">
        <f>SUBSTITUTE(IF(INDEX(#REF!,A407)&gt;IFERROR(INDEX(salaries_other_inst[Max hourly rate],MATCH(INDEX(#REF!,A407),salaries_other_inst[category],0),1),""),$B$153,""),"&lt;&lt;max_hourly_rate&gt;&gt;",TEXT(IFERROR(INDEX(salaries_other_inst[Max hourly rate],MATCH(INDEX(#REF!,A407),salaries_other_inst[category],0),1),""),"€ #"))</f>
        <v>#REF!</v>
      </c>
      <c r="F407" s="113" t="str">
        <f>IFERROR(IF(AND(INDEX(#REF!,A407)&lt;&gt;"",INDEX(#REF!,A407)=0),$B$155,""),"")</f>
        <v/>
      </c>
      <c r="G407" s="113" t="str">
        <f>IFERROR(IF(12*INDEX(#REF!,A407)/INDEX(#REF!,A407)&gt;pers_other_nrhours_year,checks!$B$156,""),"")</f>
        <v/>
      </c>
      <c r="H407" t="e">
        <f>IF(AND(organisation_type="yes",INDEX(#REF!,A407,1)&lt;&gt;"",ISBLANK(INDEX(#REF!,A407,1))),$B$146,"")</f>
        <v>#REF!</v>
      </c>
      <c r="I407" t="e">
        <f>IF(AND(organisation_name="yes",INDEX(#REF!,A407,1)&lt;&gt;"",ISBLANK(INDEX(#REF!,A407,1))),$B$147,"")</f>
        <v>#REF!</v>
      </c>
    </row>
    <row r="408" spans="1:9" hidden="1" outlineLevel="1" x14ac:dyDescent="0.35">
      <c r="A408" s="113">
        <v>97</v>
      </c>
      <c r="B408" s="113" t="str">
        <f t="array" ref="B408">IFERROR(INDEX(personnel_other_inst[[#This Row],[Empty lines]:[Name organisation]],1,MATCH(TRUE,LEN(personnel_other_inst[[#This Row],[Empty lines]:[Name organisation]])&gt;0,0)),"")</f>
        <v/>
      </c>
      <c r="C408" s="113" t="str">
        <f>IFERROR(IF(AND(LEN(INDEX(#REF!,A408))+LEN(INDEX(#REF!,A408))+LEN(INDEX(#REF!,A408))+LEN(INDEX(#REF!,A408))&gt;0,LEN(INDEX(#REF!,A408-1))+LEN(INDEX(#REF!,A408-1))+LEN(INDEX(#REF!,A408-1))+LEN(INDEX(#REF!,A408-1))=0),$B$127,""),"")</f>
        <v/>
      </c>
      <c r="D408" s="113" t="str">
        <f>IFERROR(IF(AND(INDEX(#REF!,A408)="",OR(INDEX(#REF!,A408)&gt;0,INDEX(#REF!,A408)&gt;0,INDEX(#REF!,A408)&gt;0)),$B$152,""),"")</f>
        <v/>
      </c>
      <c r="E408" s="113" t="e">
        <f>SUBSTITUTE(IF(INDEX(#REF!,A408)&gt;IFERROR(INDEX(salaries_other_inst[Max hourly rate],MATCH(INDEX(#REF!,A408),salaries_other_inst[category],0),1),""),$B$153,""),"&lt;&lt;max_hourly_rate&gt;&gt;",TEXT(IFERROR(INDEX(salaries_other_inst[Max hourly rate],MATCH(INDEX(#REF!,A408),salaries_other_inst[category],0),1),""),"€ #"))</f>
        <v>#REF!</v>
      </c>
      <c r="F408" s="113" t="str">
        <f>IFERROR(IF(AND(INDEX(#REF!,A408)&lt;&gt;"",INDEX(#REF!,A408)=0),$B$155,""),"")</f>
        <v/>
      </c>
      <c r="G408" s="113" t="str">
        <f>IFERROR(IF(12*INDEX(#REF!,A408)/INDEX(#REF!,A408)&gt;pers_other_nrhours_year,checks!$B$156,""),"")</f>
        <v/>
      </c>
      <c r="H408" t="e">
        <f>IF(AND(organisation_type="yes",INDEX(#REF!,A408,1)&lt;&gt;"",ISBLANK(INDEX(#REF!,A408,1))),$B$146,"")</f>
        <v>#REF!</v>
      </c>
      <c r="I408" t="e">
        <f>IF(AND(organisation_name="yes",INDEX(#REF!,A408,1)&lt;&gt;"",ISBLANK(INDEX(#REF!,A408,1))),$B$147,"")</f>
        <v>#REF!</v>
      </c>
    </row>
    <row r="409" spans="1:9" hidden="1" outlineLevel="1" x14ac:dyDescent="0.35">
      <c r="A409" s="113">
        <v>98</v>
      </c>
      <c r="B409" s="113" t="str">
        <f t="array" ref="B409">IFERROR(INDEX(personnel_other_inst[[#This Row],[Empty lines]:[Name organisation]],1,MATCH(TRUE,LEN(personnel_other_inst[[#This Row],[Empty lines]:[Name organisation]])&gt;0,0)),"")</f>
        <v/>
      </c>
      <c r="C409" s="113" t="str">
        <f>IFERROR(IF(AND(LEN(INDEX(#REF!,A409))+LEN(INDEX(#REF!,A409))+LEN(INDEX(#REF!,A409))+LEN(INDEX(#REF!,A409))&gt;0,LEN(INDEX(#REF!,A409-1))+LEN(INDEX(#REF!,A409-1))+LEN(INDEX(#REF!,A409-1))+LEN(INDEX(#REF!,A409-1))=0),$B$127,""),"")</f>
        <v/>
      </c>
      <c r="D409" s="113" t="str">
        <f>IFERROR(IF(AND(INDEX(#REF!,A409)="",OR(INDEX(#REF!,A409)&gt;0,INDEX(#REF!,A409)&gt;0,INDEX(#REF!,A409)&gt;0)),$B$152,""),"")</f>
        <v/>
      </c>
      <c r="E409" s="113" t="e">
        <f>SUBSTITUTE(IF(INDEX(#REF!,A409)&gt;IFERROR(INDEX(salaries_other_inst[Max hourly rate],MATCH(INDEX(#REF!,A409),salaries_other_inst[category],0),1),""),$B$153,""),"&lt;&lt;max_hourly_rate&gt;&gt;",TEXT(IFERROR(INDEX(salaries_other_inst[Max hourly rate],MATCH(INDEX(#REF!,A409),salaries_other_inst[category],0),1),""),"€ #"))</f>
        <v>#REF!</v>
      </c>
      <c r="F409" s="113" t="str">
        <f>IFERROR(IF(AND(INDEX(#REF!,A409)&lt;&gt;"",INDEX(#REF!,A409)=0),$B$155,""),"")</f>
        <v/>
      </c>
      <c r="G409" s="113" t="str">
        <f>IFERROR(IF(12*INDEX(#REF!,A409)/INDEX(#REF!,A409)&gt;pers_other_nrhours_year,checks!$B$156,""),"")</f>
        <v/>
      </c>
      <c r="H409" t="e">
        <f>IF(AND(organisation_type="yes",INDEX(#REF!,A409,1)&lt;&gt;"",ISBLANK(INDEX(#REF!,A409,1))),$B$146,"")</f>
        <v>#REF!</v>
      </c>
      <c r="I409" t="e">
        <f>IF(AND(organisation_name="yes",INDEX(#REF!,A409,1)&lt;&gt;"",ISBLANK(INDEX(#REF!,A409,1))),$B$147,"")</f>
        <v>#REF!</v>
      </c>
    </row>
    <row r="410" spans="1:9" hidden="1" outlineLevel="1" x14ac:dyDescent="0.35">
      <c r="A410" s="113">
        <v>99</v>
      </c>
      <c r="B410" s="113" t="str">
        <f t="array" ref="B410">IFERROR(INDEX(personnel_other_inst[[#This Row],[Empty lines]:[Name organisation]],1,MATCH(TRUE,LEN(personnel_other_inst[[#This Row],[Empty lines]:[Name organisation]])&gt;0,0)),"")</f>
        <v/>
      </c>
      <c r="C410" s="113" t="str">
        <f>IFERROR(IF(AND(LEN(INDEX(#REF!,A410))+LEN(INDEX(#REF!,A410))+LEN(INDEX(#REF!,A410))+LEN(INDEX(#REF!,A410))&gt;0,LEN(INDEX(#REF!,A410-1))+LEN(INDEX(#REF!,A410-1))+LEN(INDEX(#REF!,A410-1))+LEN(INDEX(#REF!,A410-1))=0),$B$127,""),"")</f>
        <v/>
      </c>
      <c r="D410" s="113" t="str">
        <f>IFERROR(IF(AND(INDEX(#REF!,A410)="",OR(INDEX(#REF!,A410)&gt;0,INDEX(#REF!,A410)&gt;0,INDEX(#REF!,A410)&gt;0)),$B$152,""),"")</f>
        <v/>
      </c>
      <c r="E410" s="113" t="e">
        <f>SUBSTITUTE(IF(INDEX(#REF!,A410)&gt;IFERROR(INDEX(salaries_other_inst[Max hourly rate],MATCH(INDEX(#REF!,A410),salaries_other_inst[category],0),1),""),$B$153,""),"&lt;&lt;max_hourly_rate&gt;&gt;",TEXT(IFERROR(INDEX(salaries_other_inst[Max hourly rate],MATCH(INDEX(#REF!,A410),salaries_other_inst[category],0),1),""),"€ #"))</f>
        <v>#REF!</v>
      </c>
      <c r="F410" s="113" t="str">
        <f>IFERROR(IF(AND(INDEX(#REF!,A410)&lt;&gt;"",INDEX(#REF!,A410)=0),$B$155,""),"")</f>
        <v/>
      </c>
      <c r="G410" s="113" t="str">
        <f>IFERROR(IF(12*INDEX(#REF!,A410)/INDEX(#REF!,A410)&gt;pers_other_nrhours_year,checks!$B$156,""),"")</f>
        <v/>
      </c>
      <c r="H410" t="e">
        <f>IF(AND(organisation_type="yes",INDEX(#REF!,A410,1)&lt;&gt;"",ISBLANK(INDEX(#REF!,A410,1))),$B$146,"")</f>
        <v>#REF!</v>
      </c>
      <c r="I410" t="e">
        <f>IF(AND(organisation_name="yes",INDEX(#REF!,A410,1)&lt;&gt;"",ISBLANK(INDEX(#REF!,A410,1))),$B$147,"")</f>
        <v>#REF!</v>
      </c>
    </row>
    <row r="411" spans="1:9" hidden="1" outlineLevel="1" x14ac:dyDescent="0.35">
      <c r="A411" s="113">
        <v>100</v>
      </c>
      <c r="B411" s="113" t="str">
        <f t="array" ref="B411">IFERROR(INDEX(personnel_other_inst[[#This Row],[Empty lines]:[Name organisation]],1,MATCH(TRUE,LEN(personnel_other_inst[[#This Row],[Empty lines]:[Name organisation]])&gt;0,0)),"")</f>
        <v/>
      </c>
      <c r="C411" s="113" t="str">
        <f>IFERROR(IF(AND(LEN(INDEX(#REF!,A411))+LEN(INDEX(#REF!,A411))+LEN(INDEX(#REF!,A411))+LEN(INDEX(#REF!,A411))&gt;0,LEN(INDEX(#REF!,A411-1))+LEN(INDEX(#REF!,A411-1))+LEN(INDEX(#REF!,A411-1))+LEN(INDEX(#REF!,A411-1))=0),$B$127,""),"")</f>
        <v/>
      </c>
      <c r="D411" s="113" t="str">
        <f>IFERROR(IF(AND(INDEX(#REF!,A411)="",OR(INDEX(#REF!,A411)&gt;0,INDEX(#REF!,A411)&gt;0,INDEX(#REF!,A411)&gt;0)),$B$152,""),"")</f>
        <v/>
      </c>
      <c r="E411" s="113" t="e">
        <f>SUBSTITUTE(IF(INDEX(#REF!,A411)&gt;IFERROR(INDEX(salaries_other_inst[Max hourly rate],MATCH(INDEX(#REF!,A411),salaries_other_inst[category],0),1),""),$B$153,""),"&lt;&lt;max_hourly_rate&gt;&gt;",TEXT(IFERROR(INDEX(salaries_other_inst[Max hourly rate],MATCH(INDEX(#REF!,A411),salaries_other_inst[category],0),1),""),"€ #"))</f>
        <v>#REF!</v>
      </c>
      <c r="F411" s="113" t="str">
        <f>IFERROR(IF(AND(INDEX(#REF!,A411)&lt;&gt;"",INDEX(#REF!,A411)=0),$B$155,""),"")</f>
        <v/>
      </c>
      <c r="G411" s="113" t="str">
        <f>IFERROR(IF(12*INDEX(#REF!,A411)/INDEX(#REF!,A411)&gt;pers_other_nrhours_year,checks!$B$156,""),"")</f>
        <v/>
      </c>
      <c r="H411" t="e">
        <f>IF(AND(organisation_type="yes",INDEX(#REF!,A411,1)&lt;&gt;"",ISBLANK(INDEX(#REF!,A411,1))),$B$146,"")</f>
        <v>#REF!</v>
      </c>
      <c r="I411" t="e">
        <f>IF(AND(organisation_name="yes",INDEX(#REF!,A411,1)&lt;&gt;"",ISBLANK(INDEX(#REF!,A411,1))),$B$147,"")</f>
        <v>#REF!</v>
      </c>
    </row>
    <row r="412" spans="1:9" collapsed="1" x14ac:dyDescent="0.35"/>
    <row r="414" spans="1:9" ht="37" collapsed="1" x14ac:dyDescent="0.35">
      <c r="A414" s="142" t="s">
        <v>722</v>
      </c>
    </row>
    <row r="415" spans="1:9" hidden="1" outlineLevel="1" x14ac:dyDescent="0.35">
      <c r="A415" s="180" t="s">
        <v>563</v>
      </c>
      <c r="B415" s="181" t="s">
        <v>576</v>
      </c>
      <c r="C415" s="181" t="s">
        <v>785</v>
      </c>
      <c r="D415" s="181" t="s">
        <v>676</v>
      </c>
      <c r="E415" s="181" t="s">
        <v>677</v>
      </c>
      <c r="F415" s="249" t="s">
        <v>771</v>
      </c>
      <c r="G415" s="249" t="s">
        <v>759</v>
      </c>
      <c r="H415" s="113" t="s">
        <v>52</v>
      </c>
      <c r="I415" s="113" t="s">
        <v>717</v>
      </c>
    </row>
    <row r="416" spans="1:9" hidden="1" outlineLevel="1" x14ac:dyDescent="0.35">
      <c r="A416" s="113">
        <v>1</v>
      </c>
      <c r="B416" s="113" t="str">
        <f t="array" ref="B416">IFERROR(INDEX(personnel_other_inst_21[[#This Row],[Empty lines]:[Name organisation]],1,MATCH(TRUE,LEN(personnel_other_inst_21[[#This Row],[Empty lines]:[Name organisation]])&gt;0,0)),"")</f>
        <v/>
      </c>
      <c r="C416" s="113" t="str">
        <f>IFERROR(IF(AND(LEN(INDEX(pers_other_inst_2021[Description],A416))+LEN(INDEX(pers_other_inst_2021[Scale],A416))+LEN(INDEX(pers_other_inst_2021[Hourly rate],A416))+LEN(INDEX(pers_other_inst_2021[Total '# hrs],A416))+LEN(INDEX(pers_other_inst_2021[Months],A416))&gt;0,LEN(INDEX(pers_other_inst_2021[Description],A416-1))++LEN(INDEX(pers_other_inst_2021[Scale],A416-1))+LEN(INDEX(pers_other_inst_2021[Hourly rate],A416-1))+LEN(INDEX(pers_other_inst_2021[Total '# hrs],A416-1))+LEN(INDEX(pers_other_inst_2021[Months],A416-1))=0),$B$127,""),"")</f>
        <v/>
      </c>
      <c r="D416" s="113" t="str">
        <f>IFERROR(IF(AND(INDEX(pers_other_inst_2021[Description],A416)="",OR(INDEX(pers_other_inst_2021[Total '# hrs],A416)&gt;0,INDEX(pers_other_inst_2021[Months],A416)&gt;0,INDEX(pers_other_inst_2021[Hourly rate],A416)&gt;0)),$B$154,""),"")</f>
        <v/>
      </c>
      <c r="E416" s="113" t="str">
        <f>SUBSTITUTE(IF(INDEX(pers_other_inst_2021[Hourly rate],A416)&gt;IFERROR(INDEX(salaries_other_inst[Max hourly rate],MATCH(INDEX(pers_other_inst_2021[Scale],A416),salaries_other_inst[category],0),1),""),$B$153,""),"&lt;&lt;max_hourly_rate&gt;&gt;",TEXT(IFERROR(INDEX(salaries_other_inst[Max hourly rate],MATCH(INDEX(pers_other_inst_2021[Scale],A416),salaries_other_inst[category],0),1),""),"€ #"))</f>
        <v/>
      </c>
      <c r="F416" s="113" t="str">
        <f>IFERROR(IF(AND(INDEX(pers_other_inst_2021[Amount],A416)&lt;&gt;"",INDEX(pers_other_inst_2021[Months],A416)=0),$B$155,""),"")</f>
        <v/>
      </c>
      <c r="G416" s="113" t="str">
        <f>IFERROR(IF(12*INDEX(pers_other_inst_2021[Total '# hrs],A416)/INDEX(pers_other_inst_2021[Months],A416)&gt;pers_other_nrhours_year,checks!$A$156,""),"")</f>
        <v/>
      </c>
      <c r="H416" t="str">
        <f>IF(AND(organisation_type="yes",INDEX(pers_other_inst_2021[Amount],A312,1)&lt;&gt;"",ISBLANK(INDEX(pers_other_inst_2021[Organisation type],A312,1))),$B$146,"")</f>
        <v/>
      </c>
      <c r="I416" t="str">
        <f>IF(AND(organisation_name="yes",INDEX(pers_other_inst_2021[Amount],A416,1)&lt;&gt;"",ISBLANK(INDEX(pers_other_inst_2021[Name organisation],A416,1))),$B$147,"")</f>
        <v/>
      </c>
    </row>
    <row r="417" spans="1:9" hidden="1" outlineLevel="1" x14ac:dyDescent="0.35">
      <c r="A417" s="113">
        <v>2</v>
      </c>
      <c r="B417" s="113" t="str">
        <f t="array" ref="B417">IFERROR(INDEX(personnel_other_inst_21[[#This Row],[Empty lines]:[Name organisation]],1,MATCH(TRUE,LEN(personnel_other_inst_21[[#This Row],[Empty lines]:[Name organisation]])&gt;0,0)),"")</f>
        <v/>
      </c>
      <c r="C417" s="113" t="str">
        <f>IFERROR(IF(AND(LEN(INDEX(pers_other_inst_2021[Description],A417))+LEN(INDEX(pers_other_inst_2021[Scale],A417))+LEN(INDEX(pers_other_inst_2021[Hourly rate],A417))+LEN(INDEX(pers_other_inst_2021[Total '# hrs],A417))+LEN(INDEX(pers_other_inst_2021[Months],A417))&gt;0,LEN(INDEX(pers_other_inst_2021[Description],A417-1))++LEN(INDEX(pers_other_inst_2021[Scale],A417-1))+LEN(INDEX(pers_other_inst_2021[Hourly rate],A417-1))+LEN(INDEX(pers_other_inst_2021[Total '# hrs],A417-1))+LEN(INDEX(pers_other_inst_2021[Months],A417-1))=0),$B$127,""),"")</f>
        <v/>
      </c>
      <c r="D417" s="113" t="str">
        <f>IFERROR(IF(AND(INDEX(pers_other_inst_2021[Description],A417)="",OR(INDEX(pers_other_inst_2021[Total '# hrs],A417)&gt;0,INDEX(pers_other_inst_2021[Months],A417)&gt;0,INDEX(pers_other_inst_2021[Hourly rate],A417)&gt;0)),$B$154,""),"")</f>
        <v/>
      </c>
      <c r="E417" s="113" t="str">
        <f>SUBSTITUTE(IF(INDEX(pers_other_inst_2021[Hourly rate],A417)&gt;IFERROR(INDEX(salaries_other_inst[Max hourly rate],MATCH(INDEX(pers_other_inst_2021[Scale],A417),salaries_other_inst[category],0),1),""),$B$153,""),"&lt;&lt;max_hourly_rate&gt;&gt;",TEXT(IFERROR(INDEX(salaries_other_inst[Max hourly rate],MATCH(INDEX(pers_other_inst_2021[Scale],A417),salaries_other_inst[category],0),1),""),"€ #"))</f>
        <v/>
      </c>
      <c r="F417" s="113" t="str">
        <f>IFERROR(IF(AND(INDEX(pers_other_inst_2021[Amount],A417)&lt;&gt;"",INDEX(pers_other_inst_2021[Months],A417)=0),$B$155,""),"")</f>
        <v/>
      </c>
      <c r="G417" s="113" t="str">
        <f>IFERROR(IF(12*INDEX(pers_other_inst_2021[Total '# hrs],A417)/INDEX(pers_other_inst_2021[Months],A417)&gt;pers_other_nrhours_year,checks!$A$156,""),"")</f>
        <v/>
      </c>
      <c r="H417" t="str">
        <f>IF(AND(organisation_type="yes",INDEX(pers_other_inst_2021[Amount],A313,1)&lt;&gt;"",ISBLANK(INDEX(pers_other_inst_2021[Organisation type],A313,1))),$B$146,"")</f>
        <v/>
      </c>
      <c r="I417" t="str">
        <f>IF(AND(organisation_name="yes",INDEX(pers_other_inst_2021[Amount],A417,1)&lt;&gt;"",ISBLANK(INDEX(pers_other_inst_2021[Name organisation],A417,1))),$B$147,"")</f>
        <v/>
      </c>
    </row>
    <row r="418" spans="1:9" hidden="1" outlineLevel="1" x14ac:dyDescent="0.35">
      <c r="A418" s="113">
        <v>3</v>
      </c>
      <c r="B418" s="113" t="str">
        <f t="array" ref="B418">IFERROR(INDEX(personnel_other_inst_21[[#This Row],[Empty lines]:[Name organisation]],1,MATCH(TRUE,LEN(personnel_other_inst_21[[#This Row],[Empty lines]:[Name organisation]])&gt;0,0)),"")</f>
        <v/>
      </c>
      <c r="C418" s="113" t="str">
        <f>IFERROR(IF(AND(LEN(INDEX(pers_other_inst_2021[Description],A418))+LEN(INDEX(pers_other_inst_2021[Scale],A418))+LEN(INDEX(pers_other_inst_2021[Hourly rate],A418))+LEN(INDEX(pers_other_inst_2021[Total '# hrs],A418))+LEN(INDEX(pers_other_inst_2021[Months],A418))&gt;0,LEN(INDEX(pers_other_inst_2021[Description],A418-1))++LEN(INDEX(pers_other_inst_2021[Scale],A418-1))+LEN(INDEX(pers_other_inst_2021[Hourly rate],A418-1))+LEN(INDEX(pers_other_inst_2021[Total '# hrs],A418-1))+LEN(INDEX(pers_other_inst_2021[Months],A418-1))=0),$B$127,""),"")</f>
        <v/>
      </c>
      <c r="D418" s="113" t="str">
        <f>IFERROR(IF(AND(INDEX(pers_other_inst_2021[Description],A418)="",OR(INDEX(pers_other_inst_2021[Total '# hrs],A418)&gt;0,INDEX(pers_other_inst_2021[Months],A418)&gt;0,INDEX(pers_other_inst_2021[Hourly rate],A418)&gt;0)),$B$154,""),"")</f>
        <v/>
      </c>
      <c r="E418" s="113" t="str">
        <f>SUBSTITUTE(IF(INDEX(pers_other_inst_2021[Hourly rate],A418)&gt;IFERROR(INDEX(salaries_other_inst[Max hourly rate],MATCH(INDEX(pers_other_inst_2021[Scale],A418),salaries_other_inst[category],0),1),""),$B$153,""),"&lt;&lt;max_hourly_rate&gt;&gt;",TEXT(IFERROR(INDEX(salaries_other_inst[Max hourly rate],MATCH(INDEX(pers_other_inst_2021[Scale],A418),salaries_other_inst[category],0),1),""),"€ #"))</f>
        <v/>
      </c>
      <c r="F418" s="113" t="str">
        <f>IFERROR(IF(AND(INDEX(pers_other_inst_2021[Amount],A418)&lt;&gt;"",INDEX(pers_other_inst_2021[Months],A418)=0),$B$155,""),"")</f>
        <v/>
      </c>
      <c r="G418" s="113" t="str">
        <f>IFERROR(IF(12*INDEX(pers_other_inst_2021[Total '# hrs],A418)/INDEX(pers_other_inst_2021[Months],A418)&gt;pers_other_nrhours_year,checks!$A$156,""),"")</f>
        <v/>
      </c>
      <c r="H418" t="str">
        <f>IF(AND(organisation_type="yes",INDEX(pers_other_inst_2021[Amount],A314,1)&lt;&gt;"",ISBLANK(INDEX(pers_other_inst_2021[Organisation type],A314,1))),$B$146,"")</f>
        <v/>
      </c>
      <c r="I418" t="str">
        <f>IF(AND(organisation_name="yes",INDEX(pers_other_inst_2021[Amount],A418,1)&lt;&gt;"",ISBLANK(INDEX(pers_other_inst_2021[Name organisation],A418,1))),$B$147,"")</f>
        <v/>
      </c>
    </row>
    <row r="419" spans="1:9" hidden="1" outlineLevel="1" x14ac:dyDescent="0.35">
      <c r="A419" s="113">
        <v>4</v>
      </c>
      <c r="B419" s="113" t="str">
        <f t="array" ref="B419">IFERROR(INDEX(personnel_other_inst_21[[#This Row],[Empty lines]:[Name organisation]],1,MATCH(TRUE,LEN(personnel_other_inst_21[[#This Row],[Empty lines]:[Name organisation]])&gt;0,0)),"")</f>
        <v/>
      </c>
      <c r="C419" s="113" t="str">
        <f>IFERROR(IF(AND(LEN(INDEX(pers_other_inst_2021[Description],A419))+LEN(INDEX(pers_other_inst_2021[Scale],A419))+LEN(INDEX(pers_other_inst_2021[Hourly rate],A419))+LEN(INDEX(pers_other_inst_2021[Total '# hrs],A419))+LEN(INDEX(pers_other_inst_2021[Months],A419))&gt;0,LEN(INDEX(pers_other_inst_2021[Description],A419-1))++LEN(INDEX(pers_other_inst_2021[Scale],A419-1))+LEN(INDEX(pers_other_inst_2021[Hourly rate],A419-1))+LEN(INDEX(pers_other_inst_2021[Total '# hrs],A419-1))+LEN(INDEX(pers_other_inst_2021[Months],A419-1))=0),$B$127,""),"")</f>
        <v/>
      </c>
      <c r="D419" s="113" t="str">
        <f>IFERROR(IF(AND(INDEX(pers_other_inst_2021[Description],A419)="",OR(INDEX(pers_other_inst_2021[Total '# hrs],A419)&gt;0,INDEX(pers_other_inst_2021[Months],A419)&gt;0,INDEX(pers_other_inst_2021[Hourly rate],A419)&gt;0)),$B$154,""),"")</f>
        <v/>
      </c>
      <c r="E419" s="113" t="str">
        <f>SUBSTITUTE(IF(INDEX(pers_other_inst_2021[Hourly rate],A419)&gt;IFERROR(INDEX(salaries_other_inst[Max hourly rate],MATCH(INDEX(pers_other_inst_2021[Scale],A419),salaries_other_inst[category],0),1),""),$B$153,""),"&lt;&lt;max_hourly_rate&gt;&gt;",TEXT(IFERROR(INDEX(salaries_other_inst[Max hourly rate],MATCH(INDEX(pers_other_inst_2021[Scale],A419),salaries_other_inst[category],0),1),""),"€ #"))</f>
        <v/>
      </c>
      <c r="F419" s="113" t="str">
        <f>IFERROR(IF(AND(INDEX(pers_other_inst_2021[Amount],A419)&lt;&gt;"",INDEX(pers_other_inst_2021[Months],A419)=0),$B$155,""),"")</f>
        <v/>
      </c>
      <c r="G419" s="113" t="str">
        <f>IFERROR(IF(12*INDEX(pers_other_inst_2021[Total '# hrs],A419)/INDEX(pers_other_inst_2021[Months],A419)&gt;pers_other_nrhours_year,checks!$A$156,""),"")</f>
        <v/>
      </c>
      <c r="H419" t="str">
        <f>IF(AND(organisation_type="yes",INDEX(pers_other_inst_2021[Amount],A315,1)&lt;&gt;"",ISBLANK(INDEX(pers_other_inst_2021[Organisation type],A315,1))),$B$146,"")</f>
        <v/>
      </c>
      <c r="I419" t="str">
        <f>IF(AND(organisation_name="yes",INDEX(pers_other_inst_2021[Amount],A419,1)&lt;&gt;"",ISBLANK(INDEX(pers_other_inst_2021[Name organisation],A419,1))),$B$147,"")</f>
        <v/>
      </c>
    </row>
    <row r="420" spans="1:9" hidden="1" outlineLevel="1" x14ac:dyDescent="0.35">
      <c r="A420" s="113">
        <v>5</v>
      </c>
      <c r="B420" s="113" t="str">
        <f t="array" ref="B420">IFERROR(INDEX(personnel_other_inst_21[[#This Row],[Empty lines]:[Name organisation]],1,MATCH(TRUE,LEN(personnel_other_inst_21[[#This Row],[Empty lines]:[Name organisation]])&gt;0,0)),"")</f>
        <v/>
      </c>
      <c r="C420" s="113" t="str">
        <f>IFERROR(IF(AND(LEN(INDEX(pers_other_inst_2021[Description],A420))+LEN(INDEX(pers_other_inst_2021[Scale],A420))+LEN(INDEX(pers_other_inst_2021[Hourly rate],A420))+LEN(INDEX(pers_other_inst_2021[Total '# hrs],A420))+LEN(INDEX(pers_other_inst_2021[Months],A420))&gt;0,LEN(INDEX(pers_other_inst_2021[Description],A420-1))++LEN(INDEX(pers_other_inst_2021[Scale],A420-1))+LEN(INDEX(pers_other_inst_2021[Hourly rate],A420-1))+LEN(INDEX(pers_other_inst_2021[Total '# hrs],A420-1))+LEN(INDEX(pers_other_inst_2021[Months],A420-1))=0),$B$127,""),"")</f>
        <v/>
      </c>
      <c r="D420" s="113" t="str">
        <f>IFERROR(IF(AND(INDEX(pers_other_inst_2021[Description],A420)="",OR(INDEX(pers_other_inst_2021[Total '# hrs],A420)&gt;0,INDEX(pers_other_inst_2021[Months],A420)&gt;0,INDEX(pers_other_inst_2021[Hourly rate],A420)&gt;0)),$B$154,""),"")</f>
        <v/>
      </c>
      <c r="E420" s="113" t="str">
        <f>SUBSTITUTE(IF(INDEX(pers_other_inst_2021[Hourly rate],A420)&gt;IFERROR(INDEX(salaries_other_inst[Max hourly rate],MATCH(INDEX(pers_other_inst_2021[Scale],A420),salaries_other_inst[category],0),1),""),$B$153,""),"&lt;&lt;max_hourly_rate&gt;&gt;",TEXT(IFERROR(INDEX(salaries_other_inst[Max hourly rate],MATCH(INDEX(pers_other_inst_2021[Scale],A420),salaries_other_inst[category],0),1),""),"€ #"))</f>
        <v/>
      </c>
      <c r="F420" s="113" t="str">
        <f>IFERROR(IF(AND(INDEX(pers_other_inst_2021[Amount],A420)&lt;&gt;"",INDEX(pers_other_inst_2021[Months],A420)=0),$B$155,""),"")</f>
        <v/>
      </c>
      <c r="G420" s="113" t="str">
        <f>IFERROR(IF(12*INDEX(pers_other_inst_2021[Total '# hrs],A420)/INDEX(pers_other_inst_2021[Months],A420)&gt;pers_other_nrhours_year,checks!$A$156,""),"")</f>
        <v/>
      </c>
      <c r="H420" t="str">
        <f>IF(AND(organisation_type="yes",INDEX(pers_other_inst_2021[Amount],A316,1)&lt;&gt;"",ISBLANK(INDEX(pers_other_inst_2021[Organisation type],A316,1))),$B$146,"")</f>
        <v/>
      </c>
      <c r="I420" t="str">
        <f>IF(AND(organisation_name="yes",INDEX(pers_other_inst_2021[Amount],A420,1)&lt;&gt;"",ISBLANK(INDEX(pers_other_inst_2021[Name organisation],A420,1))),$B$147,"")</f>
        <v/>
      </c>
    </row>
    <row r="421" spans="1:9" hidden="1" outlineLevel="1" x14ac:dyDescent="0.35">
      <c r="A421" s="113">
        <v>6</v>
      </c>
      <c r="B421" s="113" t="str">
        <f t="array" ref="B421">IFERROR(INDEX(personnel_other_inst_21[[#This Row],[Empty lines]:[Name organisation]],1,MATCH(TRUE,LEN(personnel_other_inst_21[[#This Row],[Empty lines]:[Name organisation]])&gt;0,0)),"")</f>
        <v/>
      </c>
      <c r="C421" s="113" t="str">
        <f>IFERROR(IF(AND(LEN(INDEX(pers_other_inst_2021[Description],A421))+LEN(INDEX(pers_other_inst_2021[Scale],A421))+LEN(INDEX(pers_other_inst_2021[Hourly rate],A421))+LEN(INDEX(pers_other_inst_2021[Total '# hrs],A421))+LEN(INDEX(pers_other_inst_2021[Months],A421))&gt;0,LEN(INDEX(pers_other_inst_2021[Description],A421-1))++LEN(INDEX(pers_other_inst_2021[Scale],A421-1))+LEN(INDEX(pers_other_inst_2021[Hourly rate],A421-1))+LEN(INDEX(pers_other_inst_2021[Total '# hrs],A421-1))+LEN(INDEX(pers_other_inst_2021[Months],A421-1))=0),$B$127,""),"")</f>
        <v/>
      </c>
      <c r="D421" s="113" t="str">
        <f>IFERROR(IF(AND(INDEX(pers_other_inst_2021[Description],A421)="",OR(INDEX(pers_other_inst_2021[Total '# hrs],A421)&gt;0,INDEX(pers_other_inst_2021[Months],A421)&gt;0,INDEX(pers_other_inst_2021[Hourly rate],A421)&gt;0)),$B$154,""),"")</f>
        <v/>
      </c>
      <c r="E421" s="113" t="str">
        <f>SUBSTITUTE(IF(INDEX(pers_other_inst_2021[Hourly rate],A421)&gt;IFERROR(INDEX(salaries_other_inst[Max hourly rate],MATCH(INDEX(pers_other_inst_2021[Scale],A421),salaries_other_inst[category],0),1),""),$B$153,""),"&lt;&lt;max_hourly_rate&gt;&gt;",TEXT(IFERROR(INDEX(salaries_other_inst[Max hourly rate],MATCH(INDEX(pers_other_inst_2021[Scale],A421),salaries_other_inst[category],0),1),""),"€ #"))</f>
        <v/>
      </c>
      <c r="F421" s="113" t="str">
        <f>IFERROR(IF(AND(INDEX(pers_other_inst_2021[Amount],A421)&lt;&gt;"",INDEX(pers_other_inst_2021[Months],A421)=0),$B$155,""),"")</f>
        <v/>
      </c>
      <c r="G421" s="113" t="str">
        <f>IFERROR(IF(12*INDEX(pers_other_inst_2021[Total '# hrs],A421)/INDEX(pers_other_inst_2021[Months],A421)&gt;pers_other_nrhours_year,checks!$A$156,""),"")</f>
        <v/>
      </c>
      <c r="H421" t="str">
        <f>IF(AND(organisation_type="yes",INDEX(pers_other_inst_2021[Amount],A317,1)&lt;&gt;"",ISBLANK(INDEX(pers_other_inst_2021[Organisation type],A317,1))),$B$146,"")</f>
        <v/>
      </c>
      <c r="I421" t="str">
        <f>IF(AND(organisation_name="yes",INDEX(pers_other_inst_2021[Amount],A421,1)&lt;&gt;"",ISBLANK(INDEX(pers_other_inst_2021[Name organisation],A421,1))),$B$147,"")</f>
        <v/>
      </c>
    </row>
    <row r="422" spans="1:9" hidden="1" outlineLevel="1" x14ac:dyDescent="0.35">
      <c r="A422" s="113">
        <v>7</v>
      </c>
      <c r="B422" s="113" t="str">
        <f t="array" ref="B422">IFERROR(INDEX(personnel_other_inst_21[[#This Row],[Empty lines]:[Name organisation]],1,MATCH(TRUE,LEN(personnel_other_inst_21[[#This Row],[Empty lines]:[Name organisation]])&gt;0,0)),"")</f>
        <v/>
      </c>
      <c r="C422" s="113" t="str">
        <f>IFERROR(IF(AND(LEN(INDEX(pers_other_inst_2021[Description],A422))+LEN(INDEX(pers_other_inst_2021[Scale],A422))+LEN(INDEX(pers_other_inst_2021[Hourly rate],A422))+LEN(INDEX(pers_other_inst_2021[Total '# hrs],A422))+LEN(INDEX(pers_other_inst_2021[Months],A422))&gt;0,LEN(INDEX(pers_other_inst_2021[Description],A422-1))++LEN(INDEX(pers_other_inst_2021[Scale],A422-1))+LEN(INDEX(pers_other_inst_2021[Hourly rate],A422-1))+LEN(INDEX(pers_other_inst_2021[Total '# hrs],A422-1))+LEN(INDEX(pers_other_inst_2021[Months],A422-1))=0),$B$127,""),"")</f>
        <v/>
      </c>
      <c r="D422" s="113" t="str">
        <f>IFERROR(IF(AND(INDEX(pers_other_inst_2021[Description],A422)="",OR(INDEX(pers_other_inst_2021[Total '# hrs],A422)&gt;0,INDEX(pers_other_inst_2021[Months],A422)&gt;0,INDEX(pers_other_inst_2021[Hourly rate],A422)&gt;0)),$B$154,""),"")</f>
        <v/>
      </c>
      <c r="E422" s="113" t="str">
        <f>SUBSTITUTE(IF(INDEX(pers_other_inst_2021[Hourly rate],A422)&gt;IFERROR(INDEX(salaries_other_inst[Max hourly rate],MATCH(INDEX(pers_other_inst_2021[Scale],A422),salaries_other_inst[category],0),1),""),$B$153,""),"&lt;&lt;max_hourly_rate&gt;&gt;",TEXT(IFERROR(INDEX(salaries_other_inst[Max hourly rate],MATCH(INDEX(pers_other_inst_2021[Scale],A422),salaries_other_inst[category],0),1),""),"€ #"))</f>
        <v/>
      </c>
      <c r="F422" s="113" t="str">
        <f>IFERROR(IF(AND(INDEX(pers_other_inst_2021[Amount],A422)&lt;&gt;"",INDEX(pers_other_inst_2021[Months],A422)=0),$B$155,""),"")</f>
        <v/>
      </c>
      <c r="G422" s="113" t="str">
        <f>IFERROR(IF(12*INDEX(pers_other_inst_2021[Total '# hrs],A422)/INDEX(pers_other_inst_2021[Months],A422)&gt;pers_other_nrhours_year,checks!$A$156,""),"")</f>
        <v/>
      </c>
      <c r="H422" t="str">
        <f>IF(AND(organisation_type="yes",INDEX(pers_other_inst_2021[Amount],A318,1)&lt;&gt;"",ISBLANK(INDEX(pers_other_inst_2021[Organisation type],A318,1))),$B$146,"")</f>
        <v/>
      </c>
      <c r="I422" t="str">
        <f>IF(AND(organisation_name="yes",INDEX(pers_other_inst_2021[Amount],A422,1)&lt;&gt;"",ISBLANK(INDEX(pers_other_inst_2021[Name organisation],A422,1))),$B$147,"")</f>
        <v/>
      </c>
    </row>
    <row r="423" spans="1:9" hidden="1" outlineLevel="1" x14ac:dyDescent="0.35">
      <c r="A423" s="113">
        <v>8</v>
      </c>
      <c r="B423" s="113" t="str">
        <f t="array" ref="B423">IFERROR(INDEX(personnel_other_inst_21[[#This Row],[Empty lines]:[Name organisation]],1,MATCH(TRUE,LEN(personnel_other_inst_21[[#This Row],[Empty lines]:[Name organisation]])&gt;0,0)),"")</f>
        <v/>
      </c>
      <c r="C423" s="113" t="str">
        <f>IFERROR(IF(AND(LEN(INDEX(pers_other_inst_2021[Description],A423))+LEN(INDEX(pers_other_inst_2021[Scale],A423))+LEN(INDEX(pers_other_inst_2021[Hourly rate],A423))+LEN(INDEX(pers_other_inst_2021[Total '# hrs],A423))+LEN(INDEX(pers_other_inst_2021[Months],A423))&gt;0,LEN(INDEX(pers_other_inst_2021[Description],A423-1))++LEN(INDEX(pers_other_inst_2021[Scale],A423-1))+LEN(INDEX(pers_other_inst_2021[Hourly rate],A423-1))+LEN(INDEX(pers_other_inst_2021[Total '# hrs],A423-1))+LEN(INDEX(pers_other_inst_2021[Months],A423-1))=0),$B$127,""),"")</f>
        <v/>
      </c>
      <c r="D423" s="113" t="str">
        <f>IFERROR(IF(AND(INDEX(pers_other_inst_2021[Description],A423)="",OR(INDEX(pers_other_inst_2021[Total '# hrs],A423)&gt;0,INDEX(pers_other_inst_2021[Months],A423)&gt;0,INDEX(pers_other_inst_2021[Hourly rate],A423)&gt;0)),$B$154,""),"")</f>
        <v/>
      </c>
      <c r="E423" s="113" t="str">
        <f>SUBSTITUTE(IF(INDEX(pers_other_inst_2021[Hourly rate],A423)&gt;IFERROR(INDEX(salaries_other_inst[Max hourly rate],MATCH(INDEX(pers_other_inst_2021[Scale],A423),salaries_other_inst[category],0),1),""),$B$153,""),"&lt;&lt;max_hourly_rate&gt;&gt;",TEXT(IFERROR(INDEX(salaries_other_inst[Max hourly rate],MATCH(INDEX(pers_other_inst_2021[Scale],A423),salaries_other_inst[category],0),1),""),"€ #"))</f>
        <v/>
      </c>
      <c r="F423" s="113" t="str">
        <f>IFERROR(IF(AND(INDEX(pers_other_inst_2021[Amount],A423)&lt;&gt;"",INDEX(pers_other_inst_2021[Months],A423)=0),$B$155,""),"")</f>
        <v/>
      </c>
      <c r="G423" s="113" t="str">
        <f>IFERROR(IF(12*INDEX(pers_other_inst_2021[Total '# hrs],A423)/INDEX(pers_other_inst_2021[Months],A423)&gt;pers_other_nrhours_year,checks!$A$156,""),"")</f>
        <v/>
      </c>
      <c r="H423" t="str">
        <f>IF(AND(organisation_type="yes",INDEX(pers_other_inst_2021[Amount],A319,1)&lt;&gt;"",ISBLANK(INDEX(pers_other_inst_2021[Organisation type],A319,1))),$B$146,"")</f>
        <v/>
      </c>
      <c r="I423" t="str">
        <f>IF(AND(organisation_name="yes",INDEX(pers_other_inst_2021[Amount],A423,1)&lt;&gt;"",ISBLANK(INDEX(pers_other_inst_2021[Name organisation],A423,1))),$B$147,"")</f>
        <v/>
      </c>
    </row>
    <row r="424" spans="1:9" hidden="1" outlineLevel="1" x14ac:dyDescent="0.35">
      <c r="A424" s="113">
        <v>9</v>
      </c>
      <c r="B424" s="113" t="str">
        <f t="array" ref="B424">IFERROR(INDEX(personnel_other_inst_21[[#This Row],[Empty lines]:[Name organisation]],1,MATCH(TRUE,LEN(personnel_other_inst_21[[#This Row],[Empty lines]:[Name organisation]])&gt;0,0)),"")</f>
        <v/>
      </c>
      <c r="C424" s="113" t="str">
        <f>IFERROR(IF(AND(LEN(INDEX(pers_other_inst_2021[Description],A424))+LEN(INDEX(pers_other_inst_2021[Scale],A424))+LEN(INDEX(pers_other_inst_2021[Hourly rate],A424))+LEN(INDEX(pers_other_inst_2021[Total '# hrs],A424))+LEN(INDEX(pers_other_inst_2021[Months],A424))&gt;0,LEN(INDEX(pers_other_inst_2021[Description],A424-1))++LEN(INDEX(pers_other_inst_2021[Scale],A424-1))+LEN(INDEX(pers_other_inst_2021[Hourly rate],A424-1))+LEN(INDEX(pers_other_inst_2021[Total '# hrs],A424-1))+LEN(INDEX(pers_other_inst_2021[Months],A424-1))=0),$B$127,""),"")</f>
        <v/>
      </c>
      <c r="D424" s="113" t="str">
        <f>IFERROR(IF(AND(INDEX(pers_other_inst_2021[Description],A424)="",OR(INDEX(pers_other_inst_2021[Total '# hrs],A424)&gt;0,INDEX(pers_other_inst_2021[Months],A424)&gt;0,INDEX(pers_other_inst_2021[Hourly rate],A424)&gt;0)),$B$154,""),"")</f>
        <v/>
      </c>
      <c r="E424" s="113" t="str">
        <f>SUBSTITUTE(IF(INDEX(pers_other_inst_2021[Hourly rate],A424)&gt;IFERROR(INDEX(salaries_other_inst[Max hourly rate],MATCH(INDEX(pers_other_inst_2021[Scale],A424),salaries_other_inst[category],0),1),""),$B$153,""),"&lt;&lt;max_hourly_rate&gt;&gt;",TEXT(IFERROR(INDEX(salaries_other_inst[Max hourly rate],MATCH(INDEX(pers_other_inst_2021[Scale],A424),salaries_other_inst[category],0),1),""),"€ #"))</f>
        <v/>
      </c>
      <c r="F424" s="113" t="str">
        <f>IFERROR(IF(AND(INDEX(pers_other_inst_2021[Amount],A424)&lt;&gt;"",INDEX(pers_other_inst_2021[Months],A424)=0),$B$155,""),"")</f>
        <v/>
      </c>
      <c r="G424" s="113" t="str">
        <f>IFERROR(IF(12*INDEX(pers_other_inst_2021[Total '# hrs],A424)/INDEX(pers_other_inst_2021[Months],A424)&gt;pers_other_nrhours_year,checks!$A$156,""),"")</f>
        <v/>
      </c>
      <c r="H424" t="str">
        <f>IF(AND(organisation_type="yes",INDEX(pers_other_inst_2021[Amount],A320,1)&lt;&gt;"",ISBLANK(INDEX(pers_other_inst_2021[Organisation type],A320,1))),$B$146,"")</f>
        <v/>
      </c>
      <c r="I424" t="str">
        <f>IF(AND(organisation_name="yes",INDEX(pers_other_inst_2021[Amount],A424,1)&lt;&gt;"",ISBLANK(INDEX(pers_other_inst_2021[Name organisation],A424,1))),$B$147,"")</f>
        <v/>
      </c>
    </row>
    <row r="425" spans="1:9" hidden="1" outlineLevel="1" x14ac:dyDescent="0.35">
      <c r="A425" s="113">
        <v>10</v>
      </c>
      <c r="B425" s="113" t="str">
        <f t="array" ref="B425">IFERROR(INDEX(personnel_other_inst_21[[#This Row],[Empty lines]:[Name organisation]],1,MATCH(TRUE,LEN(personnel_other_inst_21[[#This Row],[Empty lines]:[Name organisation]])&gt;0,0)),"")</f>
        <v/>
      </c>
      <c r="C425" s="113" t="str">
        <f>IFERROR(IF(AND(LEN(INDEX(pers_other_inst_2021[Description],A425))+LEN(INDEX(pers_other_inst_2021[Scale],A425))+LEN(INDEX(pers_other_inst_2021[Hourly rate],A425))+LEN(INDEX(pers_other_inst_2021[Total '# hrs],A425))+LEN(INDEX(pers_other_inst_2021[Months],A425))&gt;0,LEN(INDEX(pers_other_inst_2021[Description],A425-1))++LEN(INDEX(pers_other_inst_2021[Scale],A425-1))+LEN(INDEX(pers_other_inst_2021[Hourly rate],A425-1))+LEN(INDEX(pers_other_inst_2021[Total '# hrs],A425-1))+LEN(INDEX(pers_other_inst_2021[Months],A425-1))=0),$B$127,""),"")</f>
        <v/>
      </c>
      <c r="D425" s="113" t="str">
        <f>IFERROR(IF(AND(INDEX(pers_other_inst_2021[Description],A425)="",OR(INDEX(pers_other_inst_2021[Total '# hrs],A425)&gt;0,INDEX(pers_other_inst_2021[Months],A425)&gt;0,INDEX(pers_other_inst_2021[Hourly rate],A425)&gt;0)),$B$154,""),"")</f>
        <v/>
      </c>
      <c r="E425" s="113" t="str">
        <f>SUBSTITUTE(IF(INDEX(pers_other_inst_2021[Hourly rate],A425)&gt;IFERROR(INDEX(salaries_other_inst[Max hourly rate],MATCH(INDEX(pers_other_inst_2021[Scale],A425),salaries_other_inst[category],0),1),""),$B$153,""),"&lt;&lt;max_hourly_rate&gt;&gt;",TEXT(IFERROR(INDEX(salaries_other_inst[Max hourly rate],MATCH(INDEX(pers_other_inst_2021[Scale],A425),salaries_other_inst[category],0),1),""),"€ #"))</f>
        <v/>
      </c>
      <c r="F425" s="113" t="str">
        <f>IFERROR(IF(AND(INDEX(pers_other_inst_2021[Amount],A425)&lt;&gt;"",INDEX(pers_other_inst_2021[Months],A425)=0),$B$155,""),"")</f>
        <v/>
      </c>
      <c r="G425" s="113" t="str">
        <f>IFERROR(IF(12*INDEX(pers_other_inst_2021[Total '# hrs],A425)/INDEX(pers_other_inst_2021[Months],A425)&gt;pers_other_nrhours_year,checks!$A$156,""),"")</f>
        <v/>
      </c>
      <c r="H425" t="str">
        <f>IF(AND(organisation_type="yes",INDEX(pers_other_inst_2021[Amount],A321,1)&lt;&gt;"",ISBLANK(INDEX(pers_other_inst_2021[Organisation type],A321,1))),$B$146,"")</f>
        <v/>
      </c>
      <c r="I425" t="str">
        <f>IF(AND(organisation_name="yes",INDEX(pers_other_inst_2021[Amount],A425,1)&lt;&gt;"",ISBLANK(INDEX(pers_other_inst_2021[Name organisation],A425,1))),$B$147,"")</f>
        <v/>
      </c>
    </row>
    <row r="426" spans="1:9" hidden="1" outlineLevel="1" x14ac:dyDescent="0.35">
      <c r="A426" s="113">
        <v>11</v>
      </c>
      <c r="B426" s="113" t="str">
        <f t="array" ref="B426">IFERROR(INDEX(personnel_other_inst_21[[#This Row],[Empty lines]:[Name organisation]],1,MATCH(TRUE,LEN(personnel_other_inst_21[[#This Row],[Empty lines]:[Name organisation]])&gt;0,0)),"")</f>
        <v/>
      </c>
      <c r="C426" s="113" t="str">
        <f>IFERROR(IF(AND(LEN(INDEX(pers_other_inst_2021[Description],A426))+LEN(INDEX(pers_other_inst_2021[Scale],A426))+LEN(INDEX(pers_other_inst_2021[Hourly rate],A426))+LEN(INDEX(pers_other_inst_2021[Total '# hrs],A426))+LEN(INDEX(pers_other_inst_2021[Months],A426))&gt;0,LEN(INDEX(pers_other_inst_2021[Description],A426-1))++LEN(INDEX(pers_other_inst_2021[Scale],A426-1))+LEN(INDEX(pers_other_inst_2021[Hourly rate],A426-1))+LEN(INDEX(pers_other_inst_2021[Total '# hrs],A426-1))+LEN(INDEX(pers_other_inst_2021[Months],A426-1))=0),$B$127,""),"")</f>
        <v/>
      </c>
      <c r="D426" s="113" t="str">
        <f>IFERROR(IF(AND(INDEX(pers_other_inst_2021[Description],A426)="",OR(INDEX(pers_other_inst_2021[Total '# hrs],A426)&gt;0,INDEX(pers_other_inst_2021[Months],A426)&gt;0,INDEX(pers_other_inst_2021[Hourly rate],A426)&gt;0)),$B$154,""),"")</f>
        <v/>
      </c>
      <c r="E426" s="113" t="str">
        <f>SUBSTITUTE(IF(INDEX(pers_other_inst_2021[Hourly rate],A426)&gt;IFERROR(INDEX(salaries_other_inst[Max hourly rate],MATCH(INDEX(pers_other_inst_2021[Scale],A426),salaries_other_inst[category],0),1),""),$B$153,""),"&lt;&lt;max_hourly_rate&gt;&gt;",TEXT(IFERROR(INDEX(salaries_other_inst[Max hourly rate],MATCH(INDEX(pers_other_inst_2021[Scale],A426),salaries_other_inst[category],0),1),""),"€ #"))</f>
        <v/>
      </c>
      <c r="F426" s="113" t="str">
        <f>IFERROR(IF(AND(INDEX(pers_other_inst_2021[Amount],A426)&lt;&gt;"",INDEX(pers_other_inst_2021[Months],A426)=0),$B$155,""),"")</f>
        <v/>
      </c>
      <c r="G426" s="113" t="str">
        <f>IFERROR(IF(12*INDEX(pers_other_inst_2021[Total '# hrs],A426)/INDEX(pers_other_inst_2021[Months],A426)&gt;pers_other_nrhours_year,checks!$A$156,""),"")</f>
        <v/>
      </c>
      <c r="H426" t="str">
        <f>IF(AND(organisation_type="yes",INDEX(pers_other_inst_2021[Amount],A322,1)&lt;&gt;"",ISBLANK(INDEX(pers_other_inst_2021[Organisation type],A322,1))),$B$146,"")</f>
        <v/>
      </c>
      <c r="I426" t="str">
        <f>IF(AND(organisation_name="yes",INDEX(pers_other_inst_2021[Amount],A426,1)&lt;&gt;"",ISBLANK(INDEX(pers_other_inst_2021[Name organisation],A426,1))),$B$147,"")</f>
        <v/>
      </c>
    </row>
    <row r="427" spans="1:9" hidden="1" outlineLevel="1" x14ac:dyDescent="0.35">
      <c r="A427" s="113">
        <v>12</v>
      </c>
      <c r="B427" s="113" t="str">
        <f t="array" ref="B427">IFERROR(INDEX(personnel_other_inst_21[[#This Row],[Empty lines]:[Name organisation]],1,MATCH(TRUE,LEN(personnel_other_inst_21[[#This Row],[Empty lines]:[Name organisation]])&gt;0,0)),"")</f>
        <v/>
      </c>
      <c r="C427" s="113" t="str">
        <f>IFERROR(IF(AND(LEN(INDEX(pers_other_inst_2021[Description],A427))+LEN(INDEX(pers_other_inst_2021[Scale],A427))+LEN(INDEX(pers_other_inst_2021[Hourly rate],A427))+LEN(INDEX(pers_other_inst_2021[Total '# hrs],A427))+LEN(INDEX(pers_other_inst_2021[Months],A427))&gt;0,LEN(INDEX(pers_other_inst_2021[Description],A427-1))++LEN(INDEX(pers_other_inst_2021[Scale],A427-1))+LEN(INDEX(pers_other_inst_2021[Hourly rate],A427-1))+LEN(INDEX(pers_other_inst_2021[Total '# hrs],A427-1))+LEN(INDEX(pers_other_inst_2021[Months],A427-1))=0),$B$127,""),"")</f>
        <v/>
      </c>
      <c r="D427" s="113" t="str">
        <f>IFERROR(IF(AND(INDEX(pers_other_inst_2021[Description],A427)="",OR(INDEX(pers_other_inst_2021[Total '# hrs],A427)&gt;0,INDEX(pers_other_inst_2021[Months],A427)&gt;0,INDEX(pers_other_inst_2021[Hourly rate],A427)&gt;0)),$B$154,""),"")</f>
        <v/>
      </c>
      <c r="E427" s="113" t="str">
        <f>SUBSTITUTE(IF(INDEX(pers_other_inst_2021[Hourly rate],A427)&gt;IFERROR(INDEX(salaries_other_inst[Max hourly rate],MATCH(INDEX(pers_other_inst_2021[Scale],A427),salaries_other_inst[category],0),1),""),$B$153,""),"&lt;&lt;max_hourly_rate&gt;&gt;",TEXT(IFERROR(INDEX(salaries_other_inst[Max hourly rate],MATCH(INDEX(pers_other_inst_2021[Scale],A427),salaries_other_inst[category],0),1),""),"€ #"))</f>
        <v/>
      </c>
      <c r="F427" s="113" t="str">
        <f>IFERROR(IF(AND(INDEX(pers_other_inst_2021[Amount],A427)&lt;&gt;"",INDEX(pers_other_inst_2021[Months],A427)=0),$B$155,""),"")</f>
        <v/>
      </c>
      <c r="G427" s="113" t="str">
        <f>IFERROR(IF(12*INDEX(pers_other_inst_2021[Total '# hrs],A427)/INDEX(pers_other_inst_2021[Months],A427)&gt;pers_other_nrhours_year,checks!$A$156,""),"")</f>
        <v/>
      </c>
      <c r="H427" t="str">
        <f>IF(AND(organisation_type="yes",INDEX(pers_other_inst_2021[Amount],A323,1)&lt;&gt;"",ISBLANK(INDEX(pers_other_inst_2021[Organisation type],A323,1))),$B$146,"")</f>
        <v/>
      </c>
      <c r="I427" t="str">
        <f>IF(AND(organisation_name="yes",INDEX(pers_other_inst_2021[Amount],A427,1)&lt;&gt;"",ISBLANK(INDEX(pers_other_inst_2021[Name organisation],A427,1))),$B$147,"")</f>
        <v/>
      </c>
    </row>
    <row r="428" spans="1:9" hidden="1" outlineLevel="1" x14ac:dyDescent="0.35">
      <c r="A428" s="113">
        <v>13</v>
      </c>
      <c r="B428" s="113" t="str">
        <f t="array" ref="B428">IFERROR(INDEX(personnel_other_inst_21[[#This Row],[Empty lines]:[Name organisation]],1,MATCH(TRUE,LEN(personnel_other_inst_21[[#This Row],[Empty lines]:[Name organisation]])&gt;0,0)),"")</f>
        <v/>
      </c>
      <c r="C428" s="113" t="str">
        <f>IFERROR(IF(AND(LEN(INDEX(pers_other_inst_2021[Description],A428))+LEN(INDEX(pers_other_inst_2021[Scale],A428))+LEN(INDEX(pers_other_inst_2021[Hourly rate],A428))+LEN(INDEX(pers_other_inst_2021[Total '# hrs],A428))+LEN(INDEX(pers_other_inst_2021[Months],A428))&gt;0,LEN(INDEX(pers_other_inst_2021[Description],A428-1))++LEN(INDEX(pers_other_inst_2021[Scale],A428-1))+LEN(INDEX(pers_other_inst_2021[Hourly rate],A428-1))+LEN(INDEX(pers_other_inst_2021[Total '# hrs],A428-1))+LEN(INDEX(pers_other_inst_2021[Months],A428-1))=0),$B$127,""),"")</f>
        <v/>
      </c>
      <c r="D428" s="113" t="str">
        <f>IFERROR(IF(AND(INDEX(pers_other_inst_2021[Description],A428)="",OR(INDEX(pers_other_inst_2021[Total '# hrs],A428)&gt;0,INDEX(pers_other_inst_2021[Months],A428)&gt;0,INDEX(pers_other_inst_2021[Hourly rate],A428)&gt;0)),$B$154,""),"")</f>
        <v/>
      </c>
      <c r="E428" s="113" t="str">
        <f>SUBSTITUTE(IF(INDEX(pers_other_inst_2021[Hourly rate],A428)&gt;IFERROR(INDEX(salaries_other_inst[Max hourly rate],MATCH(INDEX(pers_other_inst_2021[Scale],A428),salaries_other_inst[category],0),1),""),$B$153,""),"&lt;&lt;max_hourly_rate&gt;&gt;",TEXT(IFERROR(INDEX(salaries_other_inst[Max hourly rate],MATCH(INDEX(pers_other_inst_2021[Scale],A428),salaries_other_inst[category],0),1),""),"€ #"))</f>
        <v/>
      </c>
      <c r="F428" s="113" t="str">
        <f>IFERROR(IF(AND(INDEX(pers_other_inst_2021[Amount],A428)&lt;&gt;"",INDEX(pers_other_inst_2021[Months],A428)=0),$B$155,""),"")</f>
        <v/>
      </c>
      <c r="G428" s="113" t="str">
        <f>IFERROR(IF(12*INDEX(pers_other_inst_2021[Total '# hrs],A428)/INDEX(pers_other_inst_2021[Months],A428)&gt;pers_other_nrhours_year,checks!$A$156,""),"")</f>
        <v/>
      </c>
      <c r="H428" t="str">
        <f>IF(AND(organisation_type="yes",INDEX(pers_other_inst_2021[Amount],A324,1)&lt;&gt;"",ISBLANK(INDEX(pers_other_inst_2021[Organisation type],A324,1))),$B$146,"")</f>
        <v/>
      </c>
      <c r="I428" t="str">
        <f>IF(AND(organisation_name="yes",INDEX(pers_other_inst_2021[Amount],A428,1)&lt;&gt;"",ISBLANK(INDEX(pers_other_inst_2021[Name organisation],A428,1))),$B$147,"")</f>
        <v/>
      </c>
    </row>
    <row r="429" spans="1:9" hidden="1" outlineLevel="1" x14ac:dyDescent="0.35">
      <c r="A429" s="113">
        <v>14</v>
      </c>
      <c r="B429" s="113" t="str">
        <f t="array" ref="B429">IFERROR(INDEX(personnel_other_inst_21[[#This Row],[Empty lines]:[Name organisation]],1,MATCH(TRUE,LEN(personnel_other_inst_21[[#This Row],[Empty lines]:[Name organisation]])&gt;0,0)),"")</f>
        <v/>
      </c>
      <c r="C429" s="113" t="str">
        <f>IFERROR(IF(AND(LEN(INDEX(pers_other_inst_2021[Description],A429))+LEN(INDEX(pers_other_inst_2021[Scale],A429))+LEN(INDEX(pers_other_inst_2021[Hourly rate],A429))+LEN(INDEX(pers_other_inst_2021[Total '# hrs],A429))+LEN(INDEX(pers_other_inst_2021[Months],A429))&gt;0,LEN(INDEX(pers_other_inst_2021[Description],A429-1))++LEN(INDEX(pers_other_inst_2021[Scale],A429-1))+LEN(INDEX(pers_other_inst_2021[Hourly rate],A429-1))+LEN(INDEX(pers_other_inst_2021[Total '# hrs],A429-1))+LEN(INDEX(pers_other_inst_2021[Months],A429-1))=0),$B$127,""),"")</f>
        <v/>
      </c>
      <c r="D429" s="113" t="str">
        <f>IFERROR(IF(AND(INDEX(pers_other_inst_2021[Description],A429)="",OR(INDEX(pers_other_inst_2021[Total '# hrs],A429)&gt;0,INDEX(pers_other_inst_2021[Months],A429)&gt;0,INDEX(pers_other_inst_2021[Hourly rate],A429)&gt;0)),$B$154,""),"")</f>
        <v/>
      </c>
      <c r="E429" s="113" t="str">
        <f>SUBSTITUTE(IF(INDEX(pers_other_inst_2021[Hourly rate],A429)&gt;IFERROR(INDEX(salaries_other_inst[Max hourly rate],MATCH(INDEX(pers_other_inst_2021[Scale],A429),salaries_other_inst[category],0),1),""),$B$153,""),"&lt;&lt;max_hourly_rate&gt;&gt;",TEXT(IFERROR(INDEX(salaries_other_inst[Max hourly rate],MATCH(INDEX(pers_other_inst_2021[Scale],A429),salaries_other_inst[category],0),1),""),"€ #"))</f>
        <v/>
      </c>
      <c r="F429" s="113" t="str">
        <f>IFERROR(IF(AND(INDEX(pers_other_inst_2021[Amount],A429)&lt;&gt;"",INDEX(pers_other_inst_2021[Months],A429)=0),$B$155,""),"")</f>
        <v/>
      </c>
      <c r="G429" s="113" t="str">
        <f>IFERROR(IF(12*INDEX(pers_other_inst_2021[Total '# hrs],A429)/INDEX(pers_other_inst_2021[Months],A429)&gt;pers_other_nrhours_year,checks!$A$156,""),"")</f>
        <v/>
      </c>
      <c r="H429" t="str">
        <f>IF(AND(organisation_type="yes",INDEX(pers_other_inst_2021[Amount],A325,1)&lt;&gt;"",ISBLANK(INDEX(pers_other_inst_2021[Organisation type],A325,1))),$B$146,"")</f>
        <v/>
      </c>
      <c r="I429" t="str">
        <f>IF(AND(organisation_name="yes",INDEX(pers_other_inst_2021[Amount],A429,1)&lt;&gt;"",ISBLANK(INDEX(pers_other_inst_2021[Name organisation],A429,1))),$B$147,"")</f>
        <v/>
      </c>
    </row>
    <row r="430" spans="1:9" hidden="1" outlineLevel="1" x14ac:dyDescent="0.35">
      <c r="A430" s="113">
        <v>15</v>
      </c>
      <c r="B430" s="113" t="str">
        <f t="array" ref="B430">IFERROR(INDEX(personnel_other_inst_21[[#This Row],[Empty lines]:[Name organisation]],1,MATCH(TRUE,LEN(personnel_other_inst_21[[#This Row],[Empty lines]:[Name organisation]])&gt;0,0)),"")</f>
        <v/>
      </c>
      <c r="C430" s="113" t="str">
        <f>IFERROR(IF(AND(LEN(INDEX(pers_other_inst_2021[Description],A430))+LEN(INDEX(pers_other_inst_2021[Scale],A430))+LEN(INDEX(pers_other_inst_2021[Hourly rate],A430))+LEN(INDEX(pers_other_inst_2021[Total '# hrs],A430))+LEN(INDEX(pers_other_inst_2021[Months],A430))&gt;0,LEN(INDEX(pers_other_inst_2021[Description],A430-1))++LEN(INDEX(pers_other_inst_2021[Scale],A430-1))+LEN(INDEX(pers_other_inst_2021[Hourly rate],A430-1))+LEN(INDEX(pers_other_inst_2021[Total '# hrs],A430-1))+LEN(INDEX(pers_other_inst_2021[Months],A430-1))=0),$B$127,""),"")</f>
        <v/>
      </c>
      <c r="D430" s="113" t="str">
        <f>IFERROR(IF(AND(INDEX(pers_other_inst_2021[Description],A430)="",OR(INDEX(pers_other_inst_2021[Total '# hrs],A430)&gt;0,INDEX(pers_other_inst_2021[Months],A430)&gt;0,INDEX(pers_other_inst_2021[Hourly rate],A430)&gt;0)),$B$154,""),"")</f>
        <v/>
      </c>
      <c r="E430" s="113" t="str">
        <f>SUBSTITUTE(IF(INDEX(pers_other_inst_2021[Hourly rate],A430)&gt;IFERROR(INDEX(salaries_other_inst[Max hourly rate],MATCH(INDEX(pers_other_inst_2021[Scale],A430),salaries_other_inst[category],0),1),""),$B$153,""),"&lt;&lt;max_hourly_rate&gt;&gt;",TEXT(IFERROR(INDEX(salaries_other_inst[Max hourly rate],MATCH(INDEX(pers_other_inst_2021[Scale],A430),salaries_other_inst[category],0),1),""),"€ #"))</f>
        <v/>
      </c>
      <c r="F430" s="113" t="str">
        <f>IFERROR(IF(AND(INDEX(pers_other_inst_2021[Amount],A430)&lt;&gt;"",INDEX(pers_other_inst_2021[Months],A430)=0),$B$155,""),"")</f>
        <v/>
      </c>
      <c r="G430" s="113" t="str">
        <f>IFERROR(IF(12*INDEX(pers_other_inst_2021[Total '# hrs],A430)/INDEX(pers_other_inst_2021[Months],A430)&gt;pers_other_nrhours_year,checks!$A$156,""),"")</f>
        <v/>
      </c>
      <c r="H430" t="str">
        <f>IF(AND(organisation_type="yes",INDEX(pers_other_inst_2021[Amount],A326,1)&lt;&gt;"",ISBLANK(INDEX(pers_other_inst_2021[Organisation type],A326,1))),$B$146,"")</f>
        <v/>
      </c>
      <c r="I430" t="str">
        <f>IF(AND(organisation_name="yes",INDEX(pers_other_inst_2021[Amount],A430,1)&lt;&gt;"",ISBLANK(INDEX(pers_other_inst_2021[Name organisation],A430,1))),$B$147,"")</f>
        <v/>
      </c>
    </row>
    <row r="431" spans="1:9" hidden="1" outlineLevel="1" x14ac:dyDescent="0.35">
      <c r="A431" s="113">
        <v>16</v>
      </c>
      <c r="B431" s="113" t="str">
        <f t="array" ref="B431">IFERROR(INDEX(personnel_other_inst_21[[#This Row],[Empty lines]:[Name organisation]],1,MATCH(TRUE,LEN(personnel_other_inst_21[[#This Row],[Empty lines]:[Name organisation]])&gt;0,0)),"")</f>
        <v/>
      </c>
      <c r="C431" s="113" t="str">
        <f>IFERROR(IF(AND(LEN(INDEX(pers_other_inst_2021[Description],A431))+LEN(INDEX(pers_other_inst_2021[Scale],A431))+LEN(INDEX(pers_other_inst_2021[Hourly rate],A431))+LEN(INDEX(pers_other_inst_2021[Total '# hrs],A431))+LEN(INDEX(pers_other_inst_2021[Months],A431))&gt;0,LEN(INDEX(pers_other_inst_2021[Description],A431-1))++LEN(INDEX(pers_other_inst_2021[Scale],A431-1))+LEN(INDEX(pers_other_inst_2021[Hourly rate],A431-1))+LEN(INDEX(pers_other_inst_2021[Total '# hrs],A431-1))+LEN(INDEX(pers_other_inst_2021[Months],A431-1))=0),$B$127,""),"")</f>
        <v/>
      </c>
      <c r="D431" s="113" t="str">
        <f>IFERROR(IF(AND(INDEX(pers_other_inst_2021[Description],A431)="",OR(INDEX(pers_other_inst_2021[Total '# hrs],A431)&gt;0,INDEX(pers_other_inst_2021[Months],A431)&gt;0,INDEX(pers_other_inst_2021[Hourly rate],A431)&gt;0)),$B$154,""),"")</f>
        <v/>
      </c>
      <c r="E431" s="113" t="str">
        <f>SUBSTITUTE(IF(INDEX(pers_other_inst_2021[Hourly rate],A431)&gt;IFERROR(INDEX(salaries_other_inst[Max hourly rate],MATCH(INDEX(pers_other_inst_2021[Scale],A431),salaries_other_inst[category],0),1),""),$B$153,""),"&lt;&lt;max_hourly_rate&gt;&gt;",TEXT(IFERROR(INDEX(salaries_other_inst[Max hourly rate],MATCH(INDEX(pers_other_inst_2021[Scale],A431),salaries_other_inst[category],0),1),""),"€ #"))</f>
        <v/>
      </c>
      <c r="F431" s="113" t="str">
        <f>IFERROR(IF(AND(INDEX(pers_other_inst_2021[Amount],A431)&lt;&gt;"",INDEX(pers_other_inst_2021[Months],A431)=0),$B$155,""),"")</f>
        <v/>
      </c>
      <c r="G431" s="113" t="str">
        <f>IFERROR(IF(12*INDEX(pers_other_inst_2021[Total '# hrs],A431)/INDEX(pers_other_inst_2021[Months],A431)&gt;pers_other_nrhours_year,checks!$A$156,""),"")</f>
        <v/>
      </c>
      <c r="H431" t="str">
        <f>IF(AND(organisation_type="yes",INDEX(pers_other_inst_2021[Amount],A327,1)&lt;&gt;"",ISBLANK(INDEX(pers_other_inst_2021[Organisation type],A327,1))),$B$146,"")</f>
        <v/>
      </c>
      <c r="I431" t="str">
        <f>IF(AND(organisation_name="yes",INDEX(pers_other_inst_2021[Amount],A431,1)&lt;&gt;"",ISBLANK(INDEX(pers_other_inst_2021[Name organisation],A431,1))),$B$147,"")</f>
        <v/>
      </c>
    </row>
    <row r="432" spans="1:9" hidden="1" outlineLevel="1" x14ac:dyDescent="0.35">
      <c r="A432" s="113">
        <v>17</v>
      </c>
      <c r="B432" s="113" t="str">
        <f t="array" ref="B432">IFERROR(INDEX(personnel_other_inst_21[[#This Row],[Empty lines]:[Name organisation]],1,MATCH(TRUE,LEN(personnel_other_inst_21[[#This Row],[Empty lines]:[Name organisation]])&gt;0,0)),"")</f>
        <v/>
      </c>
      <c r="C432" s="113" t="str">
        <f>IFERROR(IF(AND(LEN(INDEX(pers_other_inst_2021[Description],A432))+LEN(INDEX(pers_other_inst_2021[Scale],A432))+LEN(INDEX(pers_other_inst_2021[Hourly rate],A432))+LEN(INDEX(pers_other_inst_2021[Total '# hrs],A432))+LEN(INDEX(pers_other_inst_2021[Months],A432))&gt;0,LEN(INDEX(pers_other_inst_2021[Description],A432-1))++LEN(INDEX(pers_other_inst_2021[Scale],A432-1))+LEN(INDEX(pers_other_inst_2021[Hourly rate],A432-1))+LEN(INDEX(pers_other_inst_2021[Total '# hrs],A432-1))+LEN(INDEX(pers_other_inst_2021[Months],A432-1))=0),$B$127,""),"")</f>
        <v/>
      </c>
      <c r="D432" s="113" t="str">
        <f>IFERROR(IF(AND(INDEX(pers_other_inst_2021[Description],A432)="",OR(INDEX(pers_other_inst_2021[Total '# hrs],A432)&gt;0,INDEX(pers_other_inst_2021[Months],A432)&gt;0,INDEX(pers_other_inst_2021[Hourly rate],A432)&gt;0)),$B$154,""),"")</f>
        <v/>
      </c>
      <c r="E432" s="113" t="str">
        <f>SUBSTITUTE(IF(INDEX(pers_other_inst_2021[Hourly rate],A432)&gt;IFERROR(INDEX(salaries_other_inst[Max hourly rate],MATCH(INDEX(pers_other_inst_2021[Scale],A432),salaries_other_inst[category],0),1),""),$B$153,""),"&lt;&lt;max_hourly_rate&gt;&gt;",TEXT(IFERROR(INDEX(salaries_other_inst[Max hourly rate],MATCH(INDEX(pers_other_inst_2021[Scale],A432),salaries_other_inst[category],0),1),""),"€ #"))</f>
        <v/>
      </c>
      <c r="F432" s="113" t="str">
        <f>IFERROR(IF(AND(INDEX(pers_other_inst_2021[Amount],A432)&lt;&gt;"",INDEX(pers_other_inst_2021[Months],A432)=0),$B$155,""),"")</f>
        <v/>
      </c>
      <c r="G432" s="113" t="str">
        <f>IFERROR(IF(12*INDEX(pers_other_inst_2021[Total '# hrs],A432)/INDEX(pers_other_inst_2021[Months],A432)&gt;pers_other_nrhours_year,checks!$A$156,""),"")</f>
        <v/>
      </c>
      <c r="H432" t="str">
        <f>IF(AND(organisation_type="yes",INDEX(pers_other_inst_2021[Amount],A328,1)&lt;&gt;"",ISBLANK(INDEX(pers_other_inst_2021[Organisation type],A328,1))),$B$146,"")</f>
        <v/>
      </c>
      <c r="I432" t="str">
        <f>IF(AND(organisation_name="yes",INDEX(pers_other_inst_2021[Amount],A432,1)&lt;&gt;"",ISBLANK(INDEX(pers_other_inst_2021[Name organisation],A432,1))),$B$147,"")</f>
        <v/>
      </c>
    </row>
    <row r="433" spans="1:9" hidden="1" outlineLevel="1" x14ac:dyDescent="0.35">
      <c r="A433" s="113">
        <v>18</v>
      </c>
      <c r="B433" s="113" t="str">
        <f t="array" ref="B433">IFERROR(INDEX(personnel_other_inst_21[[#This Row],[Empty lines]:[Name organisation]],1,MATCH(TRUE,LEN(personnel_other_inst_21[[#This Row],[Empty lines]:[Name organisation]])&gt;0,0)),"")</f>
        <v/>
      </c>
      <c r="C433" s="113" t="str">
        <f>IFERROR(IF(AND(LEN(INDEX(pers_other_inst_2021[Description],A433))+LEN(INDEX(pers_other_inst_2021[Scale],A433))+LEN(INDEX(pers_other_inst_2021[Hourly rate],A433))+LEN(INDEX(pers_other_inst_2021[Total '# hrs],A433))+LEN(INDEX(pers_other_inst_2021[Months],A433))&gt;0,LEN(INDEX(pers_other_inst_2021[Description],A433-1))++LEN(INDEX(pers_other_inst_2021[Scale],A433-1))+LEN(INDEX(pers_other_inst_2021[Hourly rate],A433-1))+LEN(INDEX(pers_other_inst_2021[Total '# hrs],A433-1))+LEN(INDEX(pers_other_inst_2021[Months],A433-1))=0),$B$127,""),"")</f>
        <v/>
      </c>
      <c r="D433" s="113" t="str">
        <f>IFERROR(IF(AND(INDEX(pers_other_inst_2021[Description],A433)="",OR(INDEX(pers_other_inst_2021[Total '# hrs],A433)&gt;0,INDEX(pers_other_inst_2021[Months],A433)&gt;0,INDEX(pers_other_inst_2021[Hourly rate],A433)&gt;0)),$B$154,""),"")</f>
        <v/>
      </c>
      <c r="E433" s="113" t="str">
        <f>SUBSTITUTE(IF(INDEX(pers_other_inst_2021[Hourly rate],A433)&gt;IFERROR(INDEX(salaries_other_inst[Max hourly rate],MATCH(INDEX(pers_other_inst_2021[Scale],A433),salaries_other_inst[category],0),1),""),$B$153,""),"&lt;&lt;max_hourly_rate&gt;&gt;",TEXT(IFERROR(INDEX(salaries_other_inst[Max hourly rate],MATCH(INDEX(pers_other_inst_2021[Scale],A433),salaries_other_inst[category],0),1),""),"€ #"))</f>
        <v/>
      </c>
      <c r="F433" s="113" t="str">
        <f>IFERROR(IF(AND(INDEX(pers_other_inst_2021[Amount],A433)&lt;&gt;"",INDEX(pers_other_inst_2021[Months],A433)=0),$B$155,""),"")</f>
        <v/>
      </c>
      <c r="G433" s="113" t="str">
        <f>IFERROR(IF(12*INDEX(pers_other_inst_2021[Total '# hrs],A433)/INDEX(pers_other_inst_2021[Months],A433)&gt;pers_other_nrhours_year,checks!$A$156,""),"")</f>
        <v/>
      </c>
      <c r="H433" t="str">
        <f>IF(AND(organisation_type="yes",INDEX(pers_other_inst_2021[Amount],A329,1)&lt;&gt;"",ISBLANK(INDEX(pers_other_inst_2021[Organisation type],A329,1))),$B$146,"")</f>
        <v/>
      </c>
      <c r="I433" t="str">
        <f>IF(AND(organisation_name="yes",INDEX(pers_other_inst_2021[Amount],A433,1)&lt;&gt;"",ISBLANK(INDEX(pers_other_inst_2021[Name organisation],A433,1))),$B$147,"")</f>
        <v/>
      </c>
    </row>
    <row r="434" spans="1:9" hidden="1" outlineLevel="1" x14ac:dyDescent="0.35">
      <c r="A434" s="113">
        <v>19</v>
      </c>
      <c r="B434" s="113" t="str">
        <f t="array" ref="B434">IFERROR(INDEX(personnel_other_inst_21[[#This Row],[Empty lines]:[Name organisation]],1,MATCH(TRUE,LEN(personnel_other_inst_21[[#This Row],[Empty lines]:[Name organisation]])&gt;0,0)),"")</f>
        <v/>
      </c>
      <c r="C434" s="113" t="str">
        <f>IFERROR(IF(AND(LEN(INDEX(pers_other_inst_2021[Description],A434))+LEN(INDEX(pers_other_inst_2021[Scale],A434))+LEN(INDEX(pers_other_inst_2021[Hourly rate],A434))+LEN(INDEX(pers_other_inst_2021[Total '# hrs],A434))+LEN(INDEX(pers_other_inst_2021[Months],A434))&gt;0,LEN(INDEX(pers_other_inst_2021[Description],A434-1))++LEN(INDEX(pers_other_inst_2021[Scale],A434-1))+LEN(INDEX(pers_other_inst_2021[Hourly rate],A434-1))+LEN(INDEX(pers_other_inst_2021[Total '# hrs],A434-1))+LEN(INDEX(pers_other_inst_2021[Months],A434-1))=0),$B$127,""),"")</f>
        <v/>
      </c>
      <c r="D434" s="113" t="str">
        <f>IFERROR(IF(AND(INDEX(pers_other_inst_2021[Description],A434)="",OR(INDEX(pers_other_inst_2021[Total '# hrs],A434)&gt;0,INDEX(pers_other_inst_2021[Months],A434)&gt;0,INDEX(pers_other_inst_2021[Hourly rate],A434)&gt;0)),$B$154,""),"")</f>
        <v/>
      </c>
      <c r="E434" s="113" t="str">
        <f>SUBSTITUTE(IF(INDEX(pers_other_inst_2021[Hourly rate],A434)&gt;IFERROR(INDEX(salaries_other_inst[Max hourly rate],MATCH(INDEX(pers_other_inst_2021[Scale],A434),salaries_other_inst[category],0),1),""),$B$153,""),"&lt;&lt;max_hourly_rate&gt;&gt;",TEXT(IFERROR(INDEX(salaries_other_inst[Max hourly rate],MATCH(INDEX(pers_other_inst_2021[Scale],A434),salaries_other_inst[category],0),1),""),"€ #"))</f>
        <v/>
      </c>
      <c r="F434" s="113" t="str">
        <f>IFERROR(IF(AND(INDEX(pers_other_inst_2021[Amount],A434)&lt;&gt;"",INDEX(pers_other_inst_2021[Months],A434)=0),$B$155,""),"")</f>
        <v/>
      </c>
      <c r="G434" s="113" t="str">
        <f>IFERROR(IF(12*INDEX(pers_other_inst_2021[Total '# hrs],A434)/INDEX(pers_other_inst_2021[Months],A434)&gt;pers_other_nrhours_year,checks!$A$156,""),"")</f>
        <v/>
      </c>
      <c r="H434" t="str">
        <f>IF(AND(organisation_type="yes",INDEX(pers_other_inst_2021[Amount],A330,1)&lt;&gt;"",ISBLANK(INDEX(pers_other_inst_2021[Organisation type],A330,1))),$B$146,"")</f>
        <v/>
      </c>
      <c r="I434" t="str">
        <f>IF(AND(organisation_name="yes",INDEX(pers_other_inst_2021[Amount],A434,1)&lt;&gt;"",ISBLANK(INDEX(pers_other_inst_2021[Name organisation],A434,1))),$B$147,"")</f>
        <v/>
      </c>
    </row>
    <row r="435" spans="1:9" hidden="1" outlineLevel="1" x14ac:dyDescent="0.35">
      <c r="A435" s="113">
        <v>20</v>
      </c>
      <c r="B435" s="113" t="str">
        <f t="array" ref="B435">IFERROR(INDEX(personnel_other_inst_21[[#This Row],[Empty lines]:[Name organisation]],1,MATCH(TRUE,LEN(personnel_other_inst_21[[#This Row],[Empty lines]:[Name organisation]])&gt;0,0)),"")</f>
        <v/>
      </c>
      <c r="C435" s="113" t="str">
        <f>IFERROR(IF(AND(LEN(INDEX(pers_other_inst_2021[Description],A435))+LEN(INDEX(pers_other_inst_2021[Scale],A435))+LEN(INDEX(pers_other_inst_2021[Hourly rate],A435))+LEN(INDEX(pers_other_inst_2021[Total '# hrs],A435))+LEN(INDEX(pers_other_inst_2021[Months],A435))&gt;0,LEN(INDEX(pers_other_inst_2021[Description],A435-1))++LEN(INDEX(pers_other_inst_2021[Scale],A435-1))+LEN(INDEX(pers_other_inst_2021[Hourly rate],A435-1))+LEN(INDEX(pers_other_inst_2021[Total '# hrs],A435-1))+LEN(INDEX(pers_other_inst_2021[Months],A435-1))=0),$B$127,""),"")</f>
        <v/>
      </c>
      <c r="D435" s="113" t="str">
        <f>IFERROR(IF(AND(INDEX(pers_other_inst_2021[Description],A435)="",OR(INDEX(pers_other_inst_2021[Total '# hrs],A435)&gt;0,INDEX(pers_other_inst_2021[Months],A435)&gt;0,INDEX(pers_other_inst_2021[Hourly rate],A435)&gt;0)),$B$154,""),"")</f>
        <v/>
      </c>
      <c r="E435" s="113" t="str">
        <f>SUBSTITUTE(IF(INDEX(pers_other_inst_2021[Hourly rate],A435)&gt;IFERROR(INDEX(salaries_other_inst[Max hourly rate],MATCH(INDEX(pers_other_inst_2021[Scale],A435),salaries_other_inst[category],0),1),""),$B$153,""),"&lt;&lt;max_hourly_rate&gt;&gt;",TEXT(IFERROR(INDEX(salaries_other_inst[Max hourly rate],MATCH(INDEX(pers_other_inst_2021[Scale],A435),salaries_other_inst[category],0),1),""),"€ #"))</f>
        <v/>
      </c>
      <c r="F435" s="113" t="str">
        <f>IFERROR(IF(AND(INDEX(pers_other_inst_2021[Amount],A435)&lt;&gt;"",INDEX(pers_other_inst_2021[Months],A435)=0),$B$155,""),"")</f>
        <v/>
      </c>
      <c r="G435" s="113" t="str">
        <f>IFERROR(IF(12*INDEX(pers_other_inst_2021[Total '# hrs],A435)/INDEX(pers_other_inst_2021[Months],A435)&gt;pers_other_nrhours_year,checks!$A$156,""),"")</f>
        <v/>
      </c>
      <c r="H435" t="str">
        <f>IF(AND(organisation_type="yes",INDEX(pers_other_inst_2021[Amount],A331,1)&lt;&gt;"",ISBLANK(INDEX(pers_other_inst_2021[Organisation type],A331,1))),$B$146,"")</f>
        <v/>
      </c>
      <c r="I435" t="str">
        <f>IF(AND(organisation_name="yes",INDEX(pers_other_inst_2021[Amount],A435,1)&lt;&gt;"",ISBLANK(INDEX(pers_other_inst_2021[Name organisation],A435,1))),$B$147,"")</f>
        <v/>
      </c>
    </row>
    <row r="436" spans="1:9" hidden="1" outlineLevel="1" x14ac:dyDescent="0.35">
      <c r="A436" s="113">
        <v>21</v>
      </c>
      <c r="B436" s="113" t="str">
        <f t="array" ref="B436">IFERROR(INDEX(personnel_other_inst_21[[#This Row],[Empty lines]:[Name organisation]],1,MATCH(TRUE,LEN(personnel_other_inst_21[[#This Row],[Empty lines]:[Name organisation]])&gt;0,0)),"")</f>
        <v/>
      </c>
      <c r="C436" s="113" t="str">
        <f>IFERROR(IF(AND(LEN(INDEX(pers_other_inst_2021[Description],A436))+LEN(INDEX(pers_other_inst_2021[Scale],A436))+LEN(INDEX(pers_other_inst_2021[Hourly rate],A436))+LEN(INDEX(pers_other_inst_2021[Total '# hrs],A436))+LEN(INDEX(pers_other_inst_2021[Months],A436))&gt;0,LEN(INDEX(pers_other_inst_2021[Description],A436-1))++LEN(INDEX(pers_other_inst_2021[Scale],A436-1))+LEN(INDEX(pers_other_inst_2021[Hourly rate],A436-1))+LEN(INDEX(pers_other_inst_2021[Total '# hrs],A436-1))+LEN(INDEX(pers_other_inst_2021[Months],A436-1))=0),$B$127,""),"")</f>
        <v/>
      </c>
      <c r="D436" s="113" t="str">
        <f>IFERROR(IF(AND(INDEX(pers_other_inst_2021[Description],A436)="",OR(INDEX(pers_other_inst_2021[Total '# hrs],A436)&gt;0,INDEX(pers_other_inst_2021[Months],A436)&gt;0,INDEX(pers_other_inst_2021[Hourly rate],A436)&gt;0)),$B$154,""),"")</f>
        <v/>
      </c>
      <c r="E436" s="113" t="e">
        <f>SUBSTITUTE(IF(INDEX(pers_other_inst_2021[Hourly rate],A436)&gt;IFERROR(INDEX(salaries_other_inst[Max hourly rate],MATCH(INDEX(pers_other_inst_2021[Scale],A436),salaries_other_inst[category],0),1),""),$B$153,""),"&lt;&lt;max_hourly_rate&gt;&gt;",TEXT(IFERROR(INDEX(salaries_other_inst[Max hourly rate],MATCH(INDEX(pers_other_inst_2021[Scale],A436),salaries_other_inst[category],0),1),""),"€ #"))</f>
        <v>#REF!</v>
      </c>
      <c r="F436" s="113" t="str">
        <f>IFERROR(IF(AND(INDEX(pers_other_inst_2021[Amount],A436)&lt;&gt;"",INDEX(pers_other_inst_2021[Months],A436)=0),$B$155,""),"")</f>
        <v/>
      </c>
      <c r="G436" s="113" t="str">
        <f>IFERROR(IF(12*INDEX(pers_other_inst_2021[Total '# hrs],A436)/INDEX(pers_other_inst_2021[Months],A436)&gt;pers_other_nrhours_year,checks!$A$156,""),"")</f>
        <v/>
      </c>
      <c r="H436" t="e">
        <f>IF(AND(organisation_type="yes",INDEX(pers_other_inst_2021[Amount],A332,1)&lt;&gt;"",ISBLANK(INDEX(pers_other_inst_2021[Organisation type],A332,1))),$B$146,"")</f>
        <v>#REF!</v>
      </c>
      <c r="I436" t="e">
        <f>IF(AND(organisation_name="yes",INDEX(pers_other_inst_2021[Amount],A436,1)&lt;&gt;"",ISBLANK(INDEX(pers_other_inst_2021[Name organisation],A436,1))),$B$147,"")</f>
        <v>#REF!</v>
      </c>
    </row>
    <row r="437" spans="1:9" hidden="1" outlineLevel="1" x14ac:dyDescent="0.35">
      <c r="A437" s="113">
        <v>22</v>
      </c>
      <c r="B437" s="113" t="str">
        <f t="array" ref="B437">IFERROR(INDEX(personnel_other_inst_21[[#This Row],[Empty lines]:[Name organisation]],1,MATCH(TRUE,LEN(personnel_other_inst_21[[#This Row],[Empty lines]:[Name organisation]])&gt;0,0)),"")</f>
        <v/>
      </c>
      <c r="C437" s="113" t="str">
        <f>IFERROR(IF(AND(LEN(INDEX(pers_other_inst_2021[Description],A437))+LEN(INDEX(pers_other_inst_2021[Scale],A437))+LEN(INDEX(pers_other_inst_2021[Hourly rate],A437))+LEN(INDEX(pers_other_inst_2021[Total '# hrs],A437))+LEN(INDEX(pers_other_inst_2021[Months],A437))&gt;0,LEN(INDEX(pers_other_inst_2021[Description],A437-1))++LEN(INDEX(pers_other_inst_2021[Scale],A437-1))+LEN(INDEX(pers_other_inst_2021[Hourly rate],A437-1))+LEN(INDEX(pers_other_inst_2021[Total '# hrs],A437-1))+LEN(INDEX(pers_other_inst_2021[Months],A437-1))=0),$B$127,""),"")</f>
        <v/>
      </c>
      <c r="D437" s="113" t="str">
        <f>IFERROR(IF(AND(INDEX(pers_other_inst_2021[Description],A437)="",OR(INDEX(pers_other_inst_2021[Total '# hrs],A437)&gt;0,INDEX(pers_other_inst_2021[Months],A437)&gt;0,INDEX(pers_other_inst_2021[Hourly rate],A437)&gt;0)),$B$154,""),"")</f>
        <v/>
      </c>
      <c r="E437" s="113" t="e">
        <f>SUBSTITUTE(IF(INDEX(pers_other_inst_2021[Hourly rate],A437)&gt;IFERROR(INDEX(salaries_other_inst[Max hourly rate],MATCH(INDEX(pers_other_inst_2021[Scale],A437),salaries_other_inst[category],0),1),""),$B$153,""),"&lt;&lt;max_hourly_rate&gt;&gt;",TEXT(IFERROR(INDEX(salaries_other_inst[Max hourly rate],MATCH(INDEX(pers_other_inst_2021[Scale],A437),salaries_other_inst[category],0),1),""),"€ #"))</f>
        <v>#REF!</v>
      </c>
      <c r="F437" s="113" t="str">
        <f>IFERROR(IF(AND(INDEX(pers_other_inst_2021[Amount],A437)&lt;&gt;"",INDEX(pers_other_inst_2021[Months],A437)=0),$B$155,""),"")</f>
        <v/>
      </c>
      <c r="G437" s="113" t="str">
        <f>IFERROR(IF(12*INDEX(pers_other_inst_2021[Total '# hrs],A437)/INDEX(pers_other_inst_2021[Months],A437)&gt;pers_other_nrhours_year,checks!$A$156,""),"")</f>
        <v/>
      </c>
      <c r="H437" t="e">
        <f>IF(AND(organisation_type="yes",INDEX(pers_other_inst_2021[Amount],A333,1)&lt;&gt;"",ISBLANK(INDEX(pers_other_inst_2021[Organisation type],A333,1))),$B$146,"")</f>
        <v>#REF!</v>
      </c>
      <c r="I437" t="e">
        <f>IF(AND(organisation_name="yes",INDEX(pers_other_inst_2021[Amount],A437,1)&lt;&gt;"",ISBLANK(INDEX(pers_other_inst_2021[Name organisation],A437,1))),$B$147,"")</f>
        <v>#REF!</v>
      </c>
    </row>
    <row r="438" spans="1:9" hidden="1" outlineLevel="1" x14ac:dyDescent="0.35">
      <c r="A438" s="113">
        <v>23</v>
      </c>
      <c r="B438" s="113" t="str">
        <f t="array" ref="B438">IFERROR(INDEX(personnel_other_inst_21[[#This Row],[Empty lines]:[Name organisation]],1,MATCH(TRUE,LEN(personnel_other_inst_21[[#This Row],[Empty lines]:[Name organisation]])&gt;0,0)),"")</f>
        <v/>
      </c>
      <c r="C438" s="113" t="str">
        <f>IFERROR(IF(AND(LEN(INDEX(pers_other_inst_2021[Description],A438))+LEN(INDEX(pers_other_inst_2021[Scale],A438))+LEN(INDEX(pers_other_inst_2021[Hourly rate],A438))+LEN(INDEX(pers_other_inst_2021[Total '# hrs],A438))+LEN(INDEX(pers_other_inst_2021[Months],A438))&gt;0,LEN(INDEX(pers_other_inst_2021[Description],A438-1))++LEN(INDEX(pers_other_inst_2021[Scale],A438-1))+LEN(INDEX(pers_other_inst_2021[Hourly rate],A438-1))+LEN(INDEX(pers_other_inst_2021[Total '# hrs],A438-1))+LEN(INDEX(pers_other_inst_2021[Months],A438-1))=0),$B$127,""),"")</f>
        <v/>
      </c>
      <c r="D438" s="113" t="str">
        <f>IFERROR(IF(AND(INDEX(pers_other_inst_2021[Description],A438)="",OR(INDEX(pers_other_inst_2021[Total '# hrs],A438)&gt;0,INDEX(pers_other_inst_2021[Months],A438)&gt;0,INDEX(pers_other_inst_2021[Hourly rate],A438)&gt;0)),$B$154,""),"")</f>
        <v/>
      </c>
      <c r="E438" s="113" t="e">
        <f>SUBSTITUTE(IF(INDEX(pers_other_inst_2021[Hourly rate],A438)&gt;IFERROR(INDEX(salaries_other_inst[Max hourly rate],MATCH(INDEX(pers_other_inst_2021[Scale],A438),salaries_other_inst[category],0),1),""),$B$153,""),"&lt;&lt;max_hourly_rate&gt;&gt;",TEXT(IFERROR(INDEX(salaries_other_inst[Max hourly rate],MATCH(INDEX(pers_other_inst_2021[Scale],A438),salaries_other_inst[category],0),1),""),"€ #"))</f>
        <v>#REF!</v>
      </c>
      <c r="F438" s="113" t="str">
        <f>IFERROR(IF(AND(INDEX(pers_other_inst_2021[Amount],A438)&lt;&gt;"",INDEX(pers_other_inst_2021[Months],A438)=0),$B$155,""),"")</f>
        <v/>
      </c>
      <c r="G438" s="113" t="str">
        <f>IFERROR(IF(12*INDEX(pers_other_inst_2021[Total '# hrs],A438)/INDEX(pers_other_inst_2021[Months],A438)&gt;pers_other_nrhours_year,checks!$A$156,""),"")</f>
        <v/>
      </c>
      <c r="H438" t="e">
        <f>IF(AND(organisation_type="yes",INDEX(pers_other_inst_2021[Amount],A334,1)&lt;&gt;"",ISBLANK(INDEX(pers_other_inst_2021[Organisation type],A334,1))),$B$146,"")</f>
        <v>#REF!</v>
      </c>
      <c r="I438" t="e">
        <f>IF(AND(organisation_name="yes",INDEX(pers_other_inst_2021[Amount],A438,1)&lt;&gt;"",ISBLANK(INDEX(pers_other_inst_2021[Name organisation],A438,1))),$B$147,"")</f>
        <v>#REF!</v>
      </c>
    </row>
    <row r="439" spans="1:9" hidden="1" outlineLevel="1" x14ac:dyDescent="0.35">
      <c r="A439" s="113">
        <v>24</v>
      </c>
      <c r="B439" s="113" t="str">
        <f t="array" ref="B439">IFERROR(INDEX(personnel_other_inst_21[[#This Row],[Empty lines]:[Name organisation]],1,MATCH(TRUE,LEN(personnel_other_inst_21[[#This Row],[Empty lines]:[Name organisation]])&gt;0,0)),"")</f>
        <v/>
      </c>
      <c r="C439" s="113" t="str">
        <f>IFERROR(IF(AND(LEN(INDEX(pers_other_inst_2021[Description],A439))+LEN(INDEX(pers_other_inst_2021[Scale],A439))+LEN(INDEX(pers_other_inst_2021[Hourly rate],A439))+LEN(INDEX(pers_other_inst_2021[Total '# hrs],A439))+LEN(INDEX(pers_other_inst_2021[Months],A439))&gt;0,LEN(INDEX(pers_other_inst_2021[Description],A439-1))++LEN(INDEX(pers_other_inst_2021[Scale],A439-1))+LEN(INDEX(pers_other_inst_2021[Hourly rate],A439-1))+LEN(INDEX(pers_other_inst_2021[Total '# hrs],A439-1))+LEN(INDEX(pers_other_inst_2021[Months],A439-1))=0),$B$127,""),"")</f>
        <v/>
      </c>
      <c r="D439" s="113" t="str">
        <f>IFERROR(IF(AND(INDEX(pers_other_inst_2021[Description],A439)="",OR(INDEX(pers_other_inst_2021[Total '# hrs],A439)&gt;0,INDEX(pers_other_inst_2021[Months],A439)&gt;0,INDEX(pers_other_inst_2021[Hourly rate],A439)&gt;0)),$B$154,""),"")</f>
        <v/>
      </c>
      <c r="E439" s="113" t="e">
        <f>SUBSTITUTE(IF(INDEX(pers_other_inst_2021[Hourly rate],A439)&gt;IFERROR(INDEX(salaries_other_inst[Max hourly rate],MATCH(INDEX(pers_other_inst_2021[Scale],A439),salaries_other_inst[category],0),1),""),$B$153,""),"&lt;&lt;max_hourly_rate&gt;&gt;",TEXT(IFERROR(INDEX(salaries_other_inst[Max hourly rate],MATCH(INDEX(pers_other_inst_2021[Scale],A439),salaries_other_inst[category],0),1),""),"€ #"))</f>
        <v>#REF!</v>
      </c>
      <c r="F439" s="113" t="str">
        <f>IFERROR(IF(AND(INDEX(pers_other_inst_2021[Amount],A439)&lt;&gt;"",INDEX(pers_other_inst_2021[Months],A439)=0),$B$155,""),"")</f>
        <v/>
      </c>
      <c r="G439" s="113" t="str">
        <f>IFERROR(IF(12*INDEX(pers_other_inst_2021[Total '# hrs],A439)/INDEX(pers_other_inst_2021[Months],A439)&gt;pers_other_nrhours_year,checks!$A$156,""),"")</f>
        <v/>
      </c>
      <c r="H439" t="e">
        <f>IF(AND(organisation_type="yes",INDEX(pers_other_inst_2021[Amount],A335,1)&lt;&gt;"",ISBLANK(INDEX(pers_other_inst_2021[Organisation type],A335,1))),$B$146,"")</f>
        <v>#REF!</v>
      </c>
      <c r="I439" t="e">
        <f>IF(AND(organisation_name="yes",INDEX(pers_other_inst_2021[Amount],A439,1)&lt;&gt;"",ISBLANK(INDEX(pers_other_inst_2021[Name organisation],A439,1))),$B$147,"")</f>
        <v>#REF!</v>
      </c>
    </row>
    <row r="440" spans="1:9" hidden="1" outlineLevel="1" x14ac:dyDescent="0.35">
      <c r="A440" s="113">
        <v>25</v>
      </c>
      <c r="B440" s="113" t="str">
        <f t="array" ref="B440">IFERROR(INDEX(personnel_other_inst_21[[#This Row],[Empty lines]:[Name organisation]],1,MATCH(TRUE,LEN(personnel_other_inst_21[[#This Row],[Empty lines]:[Name organisation]])&gt;0,0)),"")</f>
        <v/>
      </c>
      <c r="C440" s="113" t="str">
        <f>IFERROR(IF(AND(LEN(INDEX(pers_other_inst_2021[Description],A440))+LEN(INDEX(pers_other_inst_2021[Scale],A440))+LEN(INDEX(pers_other_inst_2021[Hourly rate],A440))+LEN(INDEX(pers_other_inst_2021[Total '# hrs],A440))+LEN(INDEX(pers_other_inst_2021[Months],A440))&gt;0,LEN(INDEX(pers_other_inst_2021[Description],A440-1))++LEN(INDEX(pers_other_inst_2021[Scale],A440-1))+LEN(INDEX(pers_other_inst_2021[Hourly rate],A440-1))+LEN(INDEX(pers_other_inst_2021[Total '# hrs],A440-1))+LEN(INDEX(pers_other_inst_2021[Months],A440-1))=0),$B$127,""),"")</f>
        <v/>
      </c>
      <c r="D440" s="113" t="str">
        <f>IFERROR(IF(AND(INDEX(pers_other_inst_2021[Description],A440)="",OR(INDEX(pers_other_inst_2021[Total '# hrs],A440)&gt;0,INDEX(pers_other_inst_2021[Months],A440)&gt;0,INDEX(pers_other_inst_2021[Hourly rate],A440)&gt;0)),$B$154,""),"")</f>
        <v/>
      </c>
      <c r="E440" s="113" t="e">
        <f>SUBSTITUTE(IF(INDEX(pers_other_inst_2021[Hourly rate],A440)&gt;IFERROR(INDEX(salaries_other_inst[Max hourly rate],MATCH(INDEX(pers_other_inst_2021[Scale],A440),salaries_other_inst[category],0),1),""),$B$153,""),"&lt;&lt;max_hourly_rate&gt;&gt;",TEXT(IFERROR(INDEX(salaries_other_inst[Max hourly rate],MATCH(INDEX(pers_other_inst_2021[Scale],A440),salaries_other_inst[category],0),1),""),"€ #"))</f>
        <v>#REF!</v>
      </c>
      <c r="F440" s="113" t="str">
        <f>IFERROR(IF(AND(INDEX(pers_other_inst_2021[Amount],A440)&lt;&gt;"",INDEX(pers_other_inst_2021[Months],A440)=0),$B$155,""),"")</f>
        <v/>
      </c>
      <c r="G440" s="113" t="str">
        <f>IFERROR(IF(12*INDEX(pers_other_inst_2021[Total '# hrs],A440)/INDEX(pers_other_inst_2021[Months],A440)&gt;pers_other_nrhours_year,checks!$A$156,""),"")</f>
        <v/>
      </c>
      <c r="H440" t="e">
        <f>IF(AND(organisation_type="yes",INDEX(pers_other_inst_2021[Amount],A336,1)&lt;&gt;"",ISBLANK(INDEX(pers_other_inst_2021[Organisation type],A336,1))),$B$146,"")</f>
        <v>#REF!</v>
      </c>
      <c r="I440" t="e">
        <f>IF(AND(organisation_name="yes",INDEX(pers_other_inst_2021[Amount],A440,1)&lt;&gt;"",ISBLANK(INDEX(pers_other_inst_2021[Name organisation],A440,1))),$B$147,"")</f>
        <v>#REF!</v>
      </c>
    </row>
    <row r="441" spans="1:9" hidden="1" outlineLevel="1" x14ac:dyDescent="0.35">
      <c r="A441" s="113">
        <v>26</v>
      </c>
      <c r="B441" s="113" t="str">
        <f t="array" ref="B441">IFERROR(INDEX(personnel_other_inst_21[[#This Row],[Empty lines]:[Name organisation]],1,MATCH(TRUE,LEN(personnel_other_inst_21[[#This Row],[Empty lines]:[Name organisation]])&gt;0,0)),"")</f>
        <v/>
      </c>
      <c r="C441" s="113" t="str">
        <f>IFERROR(IF(AND(LEN(INDEX(pers_other_inst_2021[Description],A441))+LEN(INDEX(pers_other_inst_2021[Scale],A441))+LEN(INDEX(pers_other_inst_2021[Hourly rate],A441))+LEN(INDEX(pers_other_inst_2021[Total '# hrs],A441))+LEN(INDEX(pers_other_inst_2021[Months],A441))&gt;0,LEN(INDEX(pers_other_inst_2021[Description],A441-1))++LEN(INDEX(pers_other_inst_2021[Scale],A441-1))+LEN(INDEX(pers_other_inst_2021[Hourly rate],A441-1))+LEN(INDEX(pers_other_inst_2021[Total '# hrs],A441-1))+LEN(INDEX(pers_other_inst_2021[Months],A441-1))=0),$B$127,""),"")</f>
        <v/>
      </c>
      <c r="D441" s="113" t="str">
        <f>IFERROR(IF(AND(INDEX(pers_other_inst_2021[Description],A441)="",OR(INDEX(pers_other_inst_2021[Total '# hrs],A441)&gt;0,INDEX(pers_other_inst_2021[Months],A441)&gt;0,INDEX(pers_other_inst_2021[Hourly rate],A441)&gt;0)),$B$154,""),"")</f>
        <v/>
      </c>
      <c r="E441" s="113" t="e">
        <f>SUBSTITUTE(IF(INDEX(pers_other_inst_2021[Hourly rate],A441)&gt;IFERROR(INDEX(salaries_other_inst[Max hourly rate],MATCH(INDEX(pers_other_inst_2021[Scale],A441),salaries_other_inst[category],0),1),""),$B$153,""),"&lt;&lt;max_hourly_rate&gt;&gt;",TEXT(IFERROR(INDEX(salaries_other_inst[Max hourly rate],MATCH(INDEX(pers_other_inst_2021[Scale],A441),salaries_other_inst[category],0),1),""),"€ #"))</f>
        <v>#REF!</v>
      </c>
      <c r="F441" s="113" t="str">
        <f>IFERROR(IF(AND(INDEX(pers_other_inst_2021[Amount],A441)&lt;&gt;"",INDEX(pers_other_inst_2021[Months],A441)=0),$B$155,""),"")</f>
        <v/>
      </c>
      <c r="G441" s="113" t="str">
        <f>IFERROR(IF(12*INDEX(pers_other_inst_2021[Total '# hrs],A441)/INDEX(pers_other_inst_2021[Months],A441)&gt;pers_other_nrhours_year,checks!$A$156,""),"")</f>
        <v/>
      </c>
      <c r="H441" t="e">
        <f>IF(AND(organisation_type="yes",INDEX(pers_other_inst_2021[Amount],A337,1)&lt;&gt;"",ISBLANK(INDEX(pers_other_inst_2021[Organisation type],A337,1))),$B$146,"")</f>
        <v>#REF!</v>
      </c>
      <c r="I441" t="e">
        <f>IF(AND(organisation_name="yes",INDEX(pers_other_inst_2021[Amount],A441,1)&lt;&gt;"",ISBLANK(INDEX(pers_other_inst_2021[Name organisation],A441,1))),$B$147,"")</f>
        <v>#REF!</v>
      </c>
    </row>
    <row r="442" spans="1:9" hidden="1" outlineLevel="1" x14ac:dyDescent="0.35">
      <c r="A442" s="113">
        <v>27</v>
      </c>
      <c r="B442" s="113" t="str">
        <f t="array" ref="B442">IFERROR(INDEX(personnel_other_inst_21[[#This Row],[Empty lines]:[Name organisation]],1,MATCH(TRUE,LEN(personnel_other_inst_21[[#This Row],[Empty lines]:[Name organisation]])&gt;0,0)),"")</f>
        <v/>
      </c>
      <c r="C442" s="113" t="str">
        <f>IFERROR(IF(AND(LEN(INDEX(pers_other_inst_2021[Description],A442))+LEN(INDEX(pers_other_inst_2021[Scale],A442))+LEN(INDEX(pers_other_inst_2021[Hourly rate],A442))+LEN(INDEX(pers_other_inst_2021[Total '# hrs],A442))+LEN(INDEX(pers_other_inst_2021[Months],A442))&gt;0,LEN(INDEX(pers_other_inst_2021[Description],A442-1))++LEN(INDEX(pers_other_inst_2021[Scale],A442-1))+LEN(INDEX(pers_other_inst_2021[Hourly rate],A442-1))+LEN(INDEX(pers_other_inst_2021[Total '# hrs],A442-1))+LEN(INDEX(pers_other_inst_2021[Months],A442-1))=0),$B$127,""),"")</f>
        <v/>
      </c>
      <c r="D442" s="113" t="str">
        <f>IFERROR(IF(AND(INDEX(pers_other_inst_2021[Description],A442)="",OR(INDEX(pers_other_inst_2021[Total '# hrs],A442)&gt;0,INDEX(pers_other_inst_2021[Months],A442)&gt;0,INDEX(pers_other_inst_2021[Hourly rate],A442)&gt;0)),$B$154,""),"")</f>
        <v/>
      </c>
      <c r="E442" s="113" t="e">
        <f>SUBSTITUTE(IF(INDEX(pers_other_inst_2021[Hourly rate],A442)&gt;IFERROR(INDEX(salaries_other_inst[Max hourly rate],MATCH(INDEX(pers_other_inst_2021[Scale],A442),salaries_other_inst[category],0),1),""),$B$153,""),"&lt;&lt;max_hourly_rate&gt;&gt;",TEXT(IFERROR(INDEX(salaries_other_inst[Max hourly rate],MATCH(INDEX(pers_other_inst_2021[Scale],A442),salaries_other_inst[category],0),1),""),"€ #"))</f>
        <v>#REF!</v>
      </c>
      <c r="F442" s="113" t="str">
        <f>IFERROR(IF(AND(INDEX(pers_other_inst_2021[Amount],A442)&lt;&gt;"",INDEX(pers_other_inst_2021[Months],A442)=0),$B$155,""),"")</f>
        <v/>
      </c>
      <c r="G442" s="113" t="str">
        <f>IFERROR(IF(12*INDEX(pers_other_inst_2021[Total '# hrs],A442)/INDEX(pers_other_inst_2021[Months],A442)&gt;pers_other_nrhours_year,checks!$A$156,""),"")</f>
        <v/>
      </c>
      <c r="H442" t="e">
        <f>IF(AND(organisation_type="yes",INDEX(pers_other_inst_2021[Amount],A338,1)&lt;&gt;"",ISBLANK(INDEX(pers_other_inst_2021[Organisation type],A338,1))),$B$146,"")</f>
        <v>#REF!</v>
      </c>
      <c r="I442" t="e">
        <f>IF(AND(organisation_name="yes",INDEX(pers_other_inst_2021[Amount],A442,1)&lt;&gt;"",ISBLANK(INDEX(pers_other_inst_2021[Name organisation],A442,1))),$B$147,"")</f>
        <v>#REF!</v>
      </c>
    </row>
    <row r="443" spans="1:9" hidden="1" outlineLevel="1" x14ac:dyDescent="0.35">
      <c r="A443" s="113">
        <v>28</v>
      </c>
      <c r="B443" s="113" t="str">
        <f t="array" ref="B443">IFERROR(INDEX(personnel_other_inst_21[[#This Row],[Empty lines]:[Name organisation]],1,MATCH(TRUE,LEN(personnel_other_inst_21[[#This Row],[Empty lines]:[Name organisation]])&gt;0,0)),"")</f>
        <v/>
      </c>
      <c r="C443" s="113" t="str">
        <f>IFERROR(IF(AND(LEN(INDEX(pers_other_inst_2021[Description],A443))+LEN(INDEX(pers_other_inst_2021[Scale],A443))+LEN(INDEX(pers_other_inst_2021[Hourly rate],A443))+LEN(INDEX(pers_other_inst_2021[Total '# hrs],A443))+LEN(INDEX(pers_other_inst_2021[Months],A443))&gt;0,LEN(INDEX(pers_other_inst_2021[Description],A443-1))++LEN(INDEX(pers_other_inst_2021[Scale],A443-1))+LEN(INDEX(pers_other_inst_2021[Hourly rate],A443-1))+LEN(INDEX(pers_other_inst_2021[Total '# hrs],A443-1))+LEN(INDEX(pers_other_inst_2021[Months],A443-1))=0),$B$127,""),"")</f>
        <v/>
      </c>
      <c r="D443" s="113" t="str">
        <f>IFERROR(IF(AND(INDEX(pers_other_inst_2021[Description],A443)="",OR(INDEX(pers_other_inst_2021[Total '# hrs],A443)&gt;0,INDEX(pers_other_inst_2021[Months],A443)&gt;0,INDEX(pers_other_inst_2021[Hourly rate],A443)&gt;0)),$B$154,""),"")</f>
        <v/>
      </c>
      <c r="E443" s="113" t="e">
        <f>SUBSTITUTE(IF(INDEX(pers_other_inst_2021[Hourly rate],A443)&gt;IFERROR(INDEX(salaries_other_inst[Max hourly rate],MATCH(INDEX(pers_other_inst_2021[Scale],A443),salaries_other_inst[category],0),1),""),$B$153,""),"&lt;&lt;max_hourly_rate&gt;&gt;",TEXT(IFERROR(INDEX(salaries_other_inst[Max hourly rate],MATCH(INDEX(pers_other_inst_2021[Scale],A443),salaries_other_inst[category],0),1),""),"€ #"))</f>
        <v>#REF!</v>
      </c>
      <c r="F443" s="113" t="str">
        <f>IFERROR(IF(AND(INDEX(pers_other_inst_2021[Amount],A443)&lt;&gt;"",INDEX(pers_other_inst_2021[Months],A443)=0),$B$155,""),"")</f>
        <v/>
      </c>
      <c r="G443" s="113" t="str">
        <f>IFERROR(IF(12*INDEX(pers_other_inst_2021[Total '# hrs],A443)/INDEX(pers_other_inst_2021[Months],A443)&gt;pers_other_nrhours_year,checks!$A$156,""),"")</f>
        <v/>
      </c>
      <c r="H443" t="e">
        <f>IF(AND(organisation_type="yes",INDEX(pers_other_inst_2021[Amount],A339,1)&lt;&gt;"",ISBLANK(INDEX(pers_other_inst_2021[Organisation type],A339,1))),$B$146,"")</f>
        <v>#REF!</v>
      </c>
      <c r="I443" t="e">
        <f>IF(AND(organisation_name="yes",INDEX(pers_other_inst_2021[Amount],A443,1)&lt;&gt;"",ISBLANK(INDEX(pers_other_inst_2021[Name organisation],A443,1))),$B$147,"")</f>
        <v>#REF!</v>
      </c>
    </row>
    <row r="444" spans="1:9" hidden="1" outlineLevel="1" x14ac:dyDescent="0.35">
      <c r="A444" s="113">
        <v>29</v>
      </c>
      <c r="B444" s="113" t="str">
        <f t="array" ref="B444">IFERROR(INDEX(personnel_other_inst_21[[#This Row],[Empty lines]:[Name organisation]],1,MATCH(TRUE,LEN(personnel_other_inst_21[[#This Row],[Empty lines]:[Name organisation]])&gt;0,0)),"")</f>
        <v/>
      </c>
      <c r="C444" s="113" t="str">
        <f>IFERROR(IF(AND(LEN(INDEX(pers_other_inst_2021[Description],A444))+LEN(INDEX(pers_other_inst_2021[Scale],A444))+LEN(INDEX(pers_other_inst_2021[Hourly rate],A444))+LEN(INDEX(pers_other_inst_2021[Total '# hrs],A444))+LEN(INDEX(pers_other_inst_2021[Months],A444))&gt;0,LEN(INDEX(pers_other_inst_2021[Description],A444-1))++LEN(INDEX(pers_other_inst_2021[Scale],A444-1))+LEN(INDEX(pers_other_inst_2021[Hourly rate],A444-1))+LEN(INDEX(pers_other_inst_2021[Total '# hrs],A444-1))+LEN(INDEX(pers_other_inst_2021[Months],A444-1))=0),$B$127,""),"")</f>
        <v/>
      </c>
      <c r="D444" s="113" t="str">
        <f>IFERROR(IF(AND(INDEX(pers_other_inst_2021[Description],A444)="",OR(INDEX(pers_other_inst_2021[Total '# hrs],A444)&gt;0,INDEX(pers_other_inst_2021[Months],A444)&gt;0,INDEX(pers_other_inst_2021[Hourly rate],A444)&gt;0)),$B$154,""),"")</f>
        <v/>
      </c>
      <c r="E444" s="113" t="e">
        <f>SUBSTITUTE(IF(INDEX(pers_other_inst_2021[Hourly rate],A444)&gt;IFERROR(INDEX(salaries_other_inst[Max hourly rate],MATCH(INDEX(pers_other_inst_2021[Scale],A444),salaries_other_inst[category],0),1),""),$B$153,""),"&lt;&lt;max_hourly_rate&gt;&gt;",TEXT(IFERROR(INDEX(salaries_other_inst[Max hourly rate],MATCH(INDEX(pers_other_inst_2021[Scale],A444),salaries_other_inst[category],0),1),""),"€ #"))</f>
        <v>#REF!</v>
      </c>
      <c r="F444" s="113" t="str">
        <f>IFERROR(IF(AND(INDEX(pers_other_inst_2021[Amount],A444)&lt;&gt;"",INDEX(pers_other_inst_2021[Months],A444)=0),$B$155,""),"")</f>
        <v/>
      </c>
      <c r="G444" s="113" t="str">
        <f>IFERROR(IF(12*INDEX(pers_other_inst_2021[Total '# hrs],A444)/INDEX(pers_other_inst_2021[Months],A444)&gt;pers_other_nrhours_year,checks!$A$156,""),"")</f>
        <v/>
      </c>
      <c r="H444" t="e">
        <f>IF(AND(organisation_type="yes",INDEX(pers_other_inst_2021[Amount],A340,1)&lt;&gt;"",ISBLANK(INDEX(pers_other_inst_2021[Organisation type],A340,1))),$B$146,"")</f>
        <v>#REF!</v>
      </c>
      <c r="I444" t="e">
        <f>IF(AND(organisation_name="yes",INDEX(pers_other_inst_2021[Amount],A444,1)&lt;&gt;"",ISBLANK(INDEX(pers_other_inst_2021[Name organisation],A444,1))),$B$147,"")</f>
        <v>#REF!</v>
      </c>
    </row>
    <row r="445" spans="1:9" hidden="1" outlineLevel="1" x14ac:dyDescent="0.35">
      <c r="A445" s="113">
        <v>30</v>
      </c>
      <c r="B445" s="113" t="str">
        <f t="array" ref="B445">IFERROR(INDEX(personnel_other_inst_21[[#This Row],[Empty lines]:[Name organisation]],1,MATCH(TRUE,LEN(personnel_other_inst_21[[#This Row],[Empty lines]:[Name organisation]])&gt;0,0)),"")</f>
        <v/>
      </c>
      <c r="C445" s="113" t="str">
        <f>IFERROR(IF(AND(LEN(INDEX(pers_other_inst_2021[Description],A445))+LEN(INDEX(pers_other_inst_2021[Scale],A445))+LEN(INDEX(pers_other_inst_2021[Hourly rate],A445))+LEN(INDEX(pers_other_inst_2021[Total '# hrs],A445))+LEN(INDEX(pers_other_inst_2021[Months],A445))&gt;0,LEN(INDEX(pers_other_inst_2021[Description],A445-1))++LEN(INDEX(pers_other_inst_2021[Scale],A445-1))+LEN(INDEX(pers_other_inst_2021[Hourly rate],A445-1))+LEN(INDEX(pers_other_inst_2021[Total '# hrs],A445-1))+LEN(INDEX(pers_other_inst_2021[Months],A445-1))=0),$B$127,""),"")</f>
        <v/>
      </c>
      <c r="D445" s="113" t="str">
        <f>IFERROR(IF(AND(INDEX(pers_other_inst_2021[Description],A445)="",OR(INDEX(pers_other_inst_2021[Total '# hrs],A445)&gt;0,INDEX(pers_other_inst_2021[Months],A445)&gt;0,INDEX(pers_other_inst_2021[Hourly rate],A445)&gt;0)),$B$154,""),"")</f>
        <v/>
      </c>
      <c r="E445" s="113" t="e">
        <f>SUBSTITUTE(IF(INDEX(pers_other_inst_2021[Hourly rate],A445)&gt;IFERROR(INDEX(salaries_other_inst[Max hourly rate],MATCH(INDEX(pers_other_inst_2021[Scale],A445),salaries_other_inst[category],0),1),""),$B$153,""),"&lt;&lt;max_hourly_rate&gt;&gt;",TEXT(IFERROR(INDEX(salaries_other_inst[Max hourly rate],MATCH(INDEX(pers_other_inst_2021[Scale],A445),salaries_other_inst[category],0),1),""),"€ #"))</f>
        <v>#REF!</v>
      </c>
      <c r="F445" s="113" t="str">
        <f>IFERROR(IF(AND(INDEX(pers_other_inst_2021[Amount],A445)&lt;&gt;"",INDEX(pers_other_inst_2021[Months],A445)=0),$B$155,""),"")</f>
        <v/>
      </c>
      <c r="G445" s="113" t="str">
        <f>IFERROR(IF(12*INDEX(pers_other_inst_2021[Total '# hrs],A445)/INDEX(pers_other_inst_2021[Months],A445)&gt;pers_other_nrhours_year,checks!$A$156,""),"")</f>
        <v/>
      </c>
      <c r="H445" t="e">
        <f>IF(AND(organisation_type="yes",INDEX(pers_other_inst_2021[Amount],A341,1)&lt;&gt;"",ISBLANK(INDEX(pers_other_inst_2021[Organisation type],A341,1))),$B$146,"")</f>
        <v>#REF!</v>
      </c>
      <c r="I445" t="e">
        <f>IF(AND(organisation_name="yes",INDEX(pers_other_inst_2021[Amount],A445,1)&lt;&gt;"",ISBLANK(INDEX(pers_other_inst_2021[Name organisation],A445,1))),$B$147,"")</f>
        <v>#REF!</v>
      </c>
    </row>
    <row r="446" spans="1:9" hidden="1" outlineLevel="1" x14ac:dyDescent="0.35">
      <c r="A446" s="113">
        <v>31</v>
      </c>
      <c r="B446" s="113" t="str">
        <f t="array" ref="B446">IFERROR(INDEX(personnel_other_inst_21[[#This Row],[Empty lines]:[Name organisation]],1,MATCH(TRUE,LEN(personnel_other_inst_21[[#This Row],[Empty lines]:[Name organisation]])&gt;0,0)),"")</f>
        <v/>
      </c>
      <c r="C446" s="113" t="str">
        <f>IFERROR(IF(AND(LEN(INDEX(pers_other_inst_2021[Description],A446))+LEN(INDEX(pers_other_inst_2021[Scale],A446))+LEN(INDEX(pers_other_inst_2021[Hourly rate],A446))+LEN(INDEX(pers_other_inst_2021[Total '# hrs],A446))+LEN(INDEX(pers_other_inst_2021[Months],A446))&gt;0,LEN(INDEX(pers_other_inst_2021[Description],A446-1))++LEN(INDEX(pers_other_inst_2021[Scale],A446-1))+LEN(INDEX(pers_other_inst_2021[Hourly rate],A446-1))+LEN(INDEX(pers_other_inst_2021[Total '# hrs],A446-1))+LEN(INDEX(pers_other_inst_2021[Months],A446-1))=0),$B$127,""),"")</f>
        <v/>
      </c>
      <c r="D446" s="113" t="str">
        <f>IFERROR(IF(AND(INDEX(pers_other_inst_2021[Description],A446)="",OR(INDEX(pers_other_inst_2021[Total '# hrs],A446)&gt;0,INDEX(pers_other_inst_2021[Months],A446)&gt;0,INDEX(pers_other_inst_2021[Hourly rate],A446)&gt;0)),$B$154,""),"")</f>
        <v/>
      </c>
      <c r="E446" s="113" t="e">
        <f>SUBSTITUTE(IF(INDEX(pers_other_inst_2021[Hourly rate],A446)&gt;IFERROR(INDEX(salaries_other_inst[Max hourly rate],MATCH(INDEX(pers_other_inst_2021[Scale],A446),salaries_other_inst[category],0),1),""),$B$153,""),"&lt;&lt;max_hourly_rate&gt;&gt;",TEXT(IFERROR(INDEX(salaries_other_inst[Max hourly rate],MATCH(INDEX(pers_other_inst_2021[Scale],A446),salaries_other_inst[category],0),1),""),"€ #"))</f>
        <v>#REF!</v>
      </c>
      <c r="F446" s="113" t="str">
        <f>IFERROR(IF(AND(INDEX(pers_other_inst_2021[Amount],A446)&lt;&gt;"",INDEX(pers_other_inst_2021[Months],A446)=0),$B$155,""),"")</f>
        <v/>
      </c>
      <c r="G446" s="113" t="str">
        <f>IFERROR(IF(12*INDEX(pers_other_inst_2021[Total '# hrs],A446)/INDEX(pers_other_inst_2021[Months],A446)&gt;pers_other_nrhours_year,checks!$A$156,""),"")</f>
        <v/>
      </c>
      <c r="H446" t="e">
        <f>IF(AND(organisation_type="yes",INDEX(pers_other_inst_2021[Amount],A342,1)&lt;&gt;"",ISBLANK(INDEX(pers_other_inst_2021[Organisation type],A342,1))),$B$146,"")</f>
        <v>#REF!</v>
      </c>
      <c r="I446" t="e">
        <f>IF(AND(organisation_name="yes",INDEX(pers_other_inst_2021[Amount],A446,1)&lt;&gt;"",ISBLANK(INDEX(pers_other_inst_2021[Name organisation],A446,1))),$B$147,"")</f>
        <v>#REF!</v>
      </c>
    </row>
    <row r="447" spans="1:9" hidden="1" outlineLevel="1" x14ac:dyDescent="0.35">
      <c r="A447" s="113">
        <v>32</v>
      </c>
      <c r="B447" s="113" t="str">
        <f t="array" ref="B447">IFERROR(INDEX(personnel_other_inst_21[[#This Row],[Empty lines]:[Name organisation]],1,MATCH(TRUE,LEN(personnel_other_inst_21[[#This Row],[Empty lines]:[Name organisation]])&gt;0,0)),"")</f>
        <v/>
      </c>
      <c r="C447" s="113" t="str">
        <f>IFERROR(IF(AND(LEN(INDEX(pers_other_inst_2021[Description],A447))+LEN(INDEX(pers_other_inst_2021[Scale],A447))+LEN(INDEX(pers_other_inst_2021[Hourly rate],A447))+LEN(INDEX(pers_other_inst_2021[Total '# hrs],A447))+LEN(INDEX(pers_other_inst_2021[Months],A447))&gt;0,LEN(INDEX(pers_other_inst_2021[Description],A447-1))++LEN(INDEX(pers_other_inst_2021[Scale],A447-1))+LEN(INDEX(pers_other_inst_2021[Hourly rate],A447-1))+LEN(INDEX(pers_other_inst_2021[Total '# hrs],A447-1))+LEN(INDEX(pers_other_inst_2021[Months],A447-1))=0),$B$127,""),"")</f>
        <v/>
      </c>
      <c r="D447" s="113" t="str">
        <f>IFERROR(IF(AND(INDEX(pers_other_inst_2021[Description],A447)="",OR(INDEX(pers_other_inst_2021[Total '# hrs],A447)&gt;0,INDEX(pers_other_inst_2021[Months],A447)&gt;0,INDEX(pers_other_inst_2021[Hourly rate],A447)&gt;0)),$B$154,""),"")</f>
        <v/>
      </c>
      <c r="E447" s="113" t="e">
        <f>SUBSTITUTE(IF(INDEX(pers_other_inst_2021[Hourly rate],A447)&gt;IFERROR(INDEX(salaries_other_inst[Max hourly rate],MATCH(INDEX(pers_other_inst_2021[Scale],A447),salaries_other_inst[category],0),1),""),$B$153,""),"&lt;&lt;max_hourly_rate&gt;&gt;",TEXT(IFERROR(INDEX(salaries_other_inst[Max hourly rate],MATCH(INDEX(pers_other_inst_2021[Scale],A447),salaries_other_inst[category],0),1),""),"€ #"))</f>
        <v>#REF!</v>
      </c>
      <c r="F447" s="113" t="str">
        <f>IFERROR(IF(AND(INDEX(pers_other_inst_2021[Amount],A447)&lt;&gt;"",INDEX(pers_other_inst_2021[Months],A447)=0),$B$155,""),"")</f>
        <v/>
      </c>
      <c r="G447" s="113" t="str">
        <f>IFERROR(IF(12*INDEX(pers_other_inst_2021[Total '# hrs],A447)/INDEX(pers_other_inst_2021[Months],A447)&gt;pers_other_nrhours_year,checks!$A$156,""),"")</f>
        <v/>
      </c>
      <c r="H447" t="e">
        <f>IF(AND(organisation_type="yes",INDEX(pers_other_inst_2021[Amount],A343,1)&lt;&gt;"",ISBLANK(INDEX(pers_other_inst_2021[Organisation type],A343,1))),$B$146,"")</f>
        <v>#REF!</v>
      </c>
      <c r="I447" t="e">
        <f>IF(AND(organisation_name="yes",INDEX(pers_other_inst_2021[Amount],A447,1)&lt;&gt;"",ISBLANK(INDEX(pers_other_inst_2021[Name organisation],A447,1))),$B$147,"")</f>
        <v>#REF!</v>
      </c>
    </row>
    <row r="448" spans="1:9" hidden="1" outlineLevel="1" x14ac:dyDescent="0.35">
      <c r="A448" s="113">
        <v>33</v>
      </c>
      <c r="B448" s="113" t="str">
        <f t="array" ref="B448">IFERROR(INDEX(personnel_other_inst_21[[#This Row],[Empty lines]:[Name organisation]],1,MATCH(TRUE,LEN(personnel_other_inst_21[[#This Row],[Empty lines]:[Name organisation]])&gt;0,0)),"")</f>
        <v/>
      </c>
      <c r="C448" s="113" t="str">
        <f>IFERROR(IF(AND(LEN(INDEX(pers_other_inst_2021[Description],A448))+LEN(INDEX(pers_other_inst_2021[Scale],A448))+LEN(INDEX(pers_other_inst_2021[Hourly rate],A448))+LEN(INDEX(pers_other_inst_2021[Total '# hrs],A448))+LEN(INDEX(pers_other_inst_2021[Months],A448))&gt;0,LEN(INDEX(pers_other_inst_2021[Description],A448-1))++LEN(INDEX(pers_other_inst_2021[Scale],A448-1))+LEN(INDEX(pers_other_inst_2021[Hourly rate],A448-1))+LEN(INDEX(pers_other_inst_2021[Total '# hrs],A448-1))+LEN(INDEX(pers_other_inst_2021[Months],A448-1))=0),$B$127,""),"")</f>
        <v/>
      </c>
      <c r="D448" s="113" t="str">
        <f>IFERROR(IF(AND(INDEX(pers_other_inst_2021[Description],A448)="",OR(INDEX(pers_other_inst_2021[Total '# hrs],A448)&gt;0,INDEX(pers_other_inst_2021[Months],A448)&gt;0,INDEX(pers_other_inst_2021[Hourly rate],A448)&gt;0)),$B$154,""),"")</f>
        <v/>
      </c>
      <c r="E448" s="113" t="e">
        <f>SUBSTITUTE(IF(INDEX(pers_other_inst_2021[Hourly rate],A448)&gt;IFERROR(INDEX(salaries_other_inst[Max hourly rate],MATCH(INDEX(pers_other_inst_2021[Scale],A448),salaries_other_inst[category],0),1),""),$B$153,""),"&lt;&lt;max_hourly_rate&gt;&gt;",TEXT(IFERROR(INDEX(salaries_other_inst[Max hourly rate],MATCH(INDEX(pers_other_inst_2021[Scale],A448),salaries_other_inst[category],0),1),""),"€ #"))</f>
        <v>#REF!</v>
      </c>
      <c r="F448" s="113" t="str">
        <f>IFERROR(IF(AND(INDEX(pers_other_inst_2021[Amount],A448)&lt;&gt;"",INDEX(pers_other_inst_2021[Months],A448)=0),$B$155,""),"")</f>
        <v/>
      </c>
      <c r="G448" s="113" t="str">
        <f>IFERROR(IF(12*INDEX(pers_other_inst_2021[Total '# hrs],A448)/INDEX(pers_other_inst_2021[Months],A448)&gt;pers_other_nrhours_year,checks!$A$156,""),"")</f>
        <v/>
      </c>
      <c r="H448" t="e">
        <f>IF(AND(organisation_type="yes",INDEX(pers_other_inst_2021[Amount],A344,1)&lt;&gt;"",ISBLANK(INDEX(pers_other_inst_2021[Organisation type],A344,1))),$B$146,"")</f>
        <v>#REF!</v>
      </c>
      <c r="I448" t="e">
        <f>IF(AND(organisation_name="yes",INDEX(pers_other_inst_2021[Amount],A448,1)&lt;&gt;"",ISBLANK(INDEX(pers_other_inst_2021[Name organisation],A448,1))),$B$147,"")</f>
        <v>#REF!</v>
      </c>
    </row>
    <row r="449" spans="1:9" hidden="1" outlineLevel="1" x14ac:dyDescent="0.35">
      <c r="A449" s="113">
        <v>34</v>
      </c>
      <c r="B449" s="113" t="str">
        <f t="array" ref="B449">IFERROR(INDEX(personnel_other_inst_21[[#This Row],[Empty lines]:[Name organisation]],1,MATCH(TRUE,LEN(personnel_other_inst_21[[#This Row],[Empty lines]:[Name organisation]])&gt;0,0)),"")</f>
        <v/>
      </c>
      <c r="C449" s="113" t="str">
        <f>IFERROR(IF(AND(LEN(INDEX(pers_other_inst_2021[Description],A449))+LEN(INDEX(pers_other_inst_2021[Scale],A449))+LEN(INDEX(pers_other_inst_2021[Hourly rate],A449))+LEN(INDEX(pers_other_inst_2021[Total '# hrs],A449))+LEN(INDEX(pers_other_inst_2021[Months],A449))&gt;0,LEN(INDEX(pers_other_inst_2021[Description],A449-1))++LEN(INDEX(pers_other_inst_2021[Scale],A449-1))+LEN(INDEX(pers_other_inst_2021[Hourly rate],A449-1))+LEN(INDEX(pers_other_inst_2021[Total '# hrs],A449-1))+LEN(INDEX(pers_other_inst_2021[Months],A449-1))=0),$B$127,""),"")</f>
        <v/>
      </c>
      <c r="D449" s="113" t="str">
        <f>IFERROR(IF(AND(INDEX(pers_other_inst_2021[Description],A449)="",OR(INDEX(pers_other_inst_2021[Total '# hrs],A449)&gt;0,INDEX(pers_other_inst_2021[Months],A449)&gt;0,INDEX(pers_other_inst_2021[Hourly rate],A449)&gt;0)),$B$154,""),"")</f>
        <v/>
      </c>
      <c r="E449" s="113" t="e">
        <f>SUBSTITUTE(IF(INDEX(pers_other_inst_2021[Hourly rate],A449)&gt;IFERROR(INDEX(salaries_other_inst[Max hourly rate],MATCH(INDEX(pers_other_inst_2021[Scale],A449),salaries_other_inst[category],0),1),""),$B$153,""),"&lt;&lt;max_hourly_rate&gt;&gt;",TEXT(IFERROR(INDEX(salaries_other_inst[Max hourly rate],MATCH(INDEX(pers_other_inst_2021[Scale],A449),salaries_other_inst[category],0),1),""),"€ #"))</f>
        <v>#REF!</v>
      </c>
      <c r="F449" s="113" t="str">
        <f>IFERROR(IF(AND(INDEX(pers_other_inst_2021[Amount],A449)&lt;&gt;"",INDEX(pers_other_inst_2021[Months],A449)=0),$B$155,""),"")</f>
        <v/>
      </c>
      <c r="G449" s="113" t="str">
        <f>IFERROR(IF(12*INDEX(pers_other_inst_2021[Total '# hrs],A449)/INDEX(pers_other_inst_2021[Months],A449)&gt;pers_other_nrhours_year,checks!$A$156,""),"")</f>
        <v/>
      </c>
      <c r="H449" t="e">
        <f>IF(AND(organisation_type="yes",INDEX(pers_other_inst_2021[Amount],A345,1)&lt;&gt;"",ISBLANK(INDEX(pers_other_inst_2021[Organisation type],A345,1))),$B$146,"")</f>
        <v>#REF!</v>
      </c>
      <c r="I449" t="e">
        <f>IF(AND(organisation_name="yes",INDEX(pers_other_inst_2021[Amount],A449,1)&lt;&gt;"",ISBLANK(INDEX(pers_other_inst_2021[Name organisation],A449,1))),$B$147,"")</f>
        <v>#REF!</v>
      </c>
    </row>
    <row r="450" spans="1:9" hidden="1" outlineLevel="1" x14ac:dyDescent="0.35">
      <c r="A450" s="113">
        <v>35</v>
      </c>
      <c r="B450" s="113" t="str">
        <f t="array" ref="B450">IFERROR(INDEX(personnel_other_inst_21[[#This Row],[Empty lines]:[Name organisation]],1,MATCH(TRUE,LEN(personnel_other_inst_21[[#This Row],[Empty lines]:[Name organisation]])&gt;0,0)),"")</f>
        <v/>
      </c>
      <c r="C450" s="113" t="str">
        <f>IFERROR(IF(AND(LEN(INDEX(pers_other_inst_2021[Description],A450))+LEN(INDEX(pers_other_inst_2021[Scale],A450))+LEN(INDEX(pers_other_inst_2021[Hourly rate],A450))+LEN(INDEX(pers_other_inst_2021[Total '# hrs],A450))+LEN(INDEX(pers_other_inst_2021[Months],A450))&gt;0,LEN(INDEX(pers_other_inst_2021[Description],A450-1))++LEN(INDEX(pers_other_inst_2021[Scale],A450-1))+LEN(INDEX(pers_other_inst_2021[Hourly rate],A450-1))+LEN(INDEX(pers_other_inst_2021[Total '# hrs],A450-1))+LEN(INDEX(pers_other_inst_2021[Months],A450-1))=0),$B$127,""),"")</f>
        <v/>
      </c>
      <c r="D450" s="113" t="str">
        <f>IFERROR(IF(AND(INDEX(pers_other_inst_2021[Description],A450)="",OR(INDEX(pers_other_inst_2021[Total '# hrs],A450)&gt;0,INDEX(pers_other_inst_2021[Months],A450)&gt;0,INDEX(pers_other_inst_2021[Hourly rate],A450)&gt;0)),$B$154,""),"")</f>
        <v/>
      </c>
      <c r="E450" s="113" t="e">
        <f>SUBSTITUTE(IF(INDEX(pers_other_inst_2021[Hourly rate],A450)&gt;IFERROR(INDEX(salaries_other_inst[Max hourly rate],MATCH(INDEX(pers_other_inst_2021[Scale],A450),salaries_other_inst[category],0),1),""),$B$153,""),"&lt;&lt;max_hourly_rate&gt;&gt;",TEXT(IFERROR(INDEX(salaries_other_inst[Max hourly rate],MATCH(INDEX(pers_other_inst_2021[Scale],A450),salaries_other_inst[category],0),1),""),"€ #"))</f>
        <v>#REF!</v>
      </c>
      <c r="F450" s="113" t="str">
        <f>IFERROR(IF(AND(INDEX(pers_other_inst_2021[Amount],A450)&lt;&gt;"",INDEX(pers_other_inst_2021[Months],A450)=0),$B$155,""),"")</f>
        <v/>
      </c>
      <c r="G450" s="113" t="str">
        <f>IFERROR(IF(12*INDEX(pers_other_inst_2021[Total '# hrs],A450)/INDEX(pers_other_inst_2021[Months],A450)&gt;pers_other_nrhours_year,checks!$A$156,""),"")</f>
        <v/>
      </c>
      <c r="H450" t="e">
        <f>IF(AND(organisation_type="yes",INDEX(pers_other_inst_2021[Amount],A346,1)&lt;&gt;"",ISBLANK(INDEX(pers_other_inst_2021[Organisation type],A346,1))),$B$146,"")</f>
        <v>#REF!</v>
      </c>
      <c r="I450" t="e">
        <f>IF(AND(organisation_name="yes",INDEX(pers_other_inst_2021[Amount],A450,1)&lt;&gt;"",ISBLANK(INDEX(pers_other_inst_2021[Name organisation],A450,1))),$B$147,"")</f>
        <v>#REF!</v>
      </c>
    </row>
    <row r="451" spans="1:9" hidden="1" outlineLevel="1" x14ac:dyDescent="0.35">
      <c r="A451" s="113">
        <v>36</v>
      </c>
      <c r="B451" s="113" t="str">
        <f t="array" ref="B451">IFERROR(INDEX(personnel_other_inst_21[[#This Row],[Empty lines]:[Name organisation]],1,MATCH(TRUE,LEN(personnel_other_inst_21[[#This Row],[Empty lines]:[Name organisation]])&gt;0,0)),"")</f>
        <v/>
      </c>
      <c r="C451" s="113" t="str">
        <f>IFERROR(IF(AND(LEN(INDEX(pers_other_inst_2021[Description],A451))+LEN(INDEX(pers_other_inst_2021[Scale],A451))+LEN(INDEX(pers_other_inst_2021[Hourly rate],A451))+LEN(INDEX(pers_other_inst_2021[Total '# hrs],A451))+LEN(INDEX(pers_other_inst_2021[Months],A451))&gt;0,LEN(INDEX(pers_other_inst_2021[Description],A451-1))++LEN(INDEX(pers_other_inst_2021[Scale],A451-1))+LEN(INDEX(pers_other_inst_2021[Hourly rate],A451-1))+LEN(INDEX(pers_other_inst_2021[Total '# hrs],A451-1))+LEN(INDEX(pers_other_inst_2021[Months],A451-1))=0),$B$127,""),"")</f>
        <v/>
      </c>
      <c r="D451" s="113" t="str">
        <f>IFERROR(IF(AND(INDEX(pers_other_inst_2021[Description],A451)="",OR(INDEX(pers_other_inst_2021[Total '# hrs],A451)&gt;0,INDEX(pers_other_inst_2021[Months],A451)&gt;0,INDEX(pers_other_inst_2021[Hourly rate],A451)&gt;0)),$B$154,""),"")</f>
        <v/>
      </c>
      <c r="E451" s="113" t="e">
        <f>SUBSTITUTE(IF(INDEX(pers_other_inst_2021[Hourly rate],A451)&gt;IFERROR(INDEX(salaries_other_inst[Max hourly rate],MATCH(INDEX(pers_other_inst_2021[Scale],A451),salaries_other_inst[category],0),1),""),$B$153,""),"&lt;&lt;max_hourly_rate&gt;&gt;",TEXT(IFERROR(INDEX(salaries_other_inst[Max hourly rate],MATCH(INDEX(pers_other_inst_2021[Scale],A451),salaries_other_inst[category],0),1),""),"€ #"))</f>
        <v>#REF!</v>
      </c>
      <c r="F451" s="113" t="str">
        <f>IFERROR(IF(AND(INDEX(pers_other_inst_2021[Amount],A451)&lt;&gt;"",INDEX(pers_other_inst_2021[Months],A451)=0),$B$155,""),"")</f>
        <v/>
      </c>
      <c r="G451" s="113" t="str">
        <f>IFERROR(IF(12*INDEX(pers_other_inst_2021[Total '# hrs],A451)/INDEX(pers_other_inst_2021[Months],A451)&gt;pers_other_nrhours_year,checks!$A$156,""),"")</f>
        <v/>
      </c>
      <c r="H451" t="e">
        <f>IF(AND(organisation_type="yes",INDEX(pers_other_inst_2021[Amount],A347,1)&lt;&gt;"",ISBLANK(INDEX(pers_other_inst_2021[Organisation type],A347,1))),$B$146,"")</f>
        <v>#REF!</v>
      </c>
      <c r="I451" t="e">
        <f>IF(AND(organisation_name="yes",INDEX(pers_other_inst_2021[Amount],A451,1)&lt;&gt;"",ISBLANK(INDEX(pers_other_inst_2021[Name organisation],A451,1))),$B$147,"")</f>
        <v>#REF!</v>
      </c>
    </row>
    <row r="452" spans="1:9" hidden="1" outlineLevel="1" x14ac:dyDescent="0.35">
      <c r="A452" s="113">
        <v>37</v>
      </c>
      <c r="B452" s="113" t="str">
        <f t="array" ref="B452">IFERROR(INDEX(personnel_other_inst_21[[#This Row],[Empty lines]:[Name organisation]],1,MATCH(TRUE,LEN(personnel_other_inst_21[[#This Row],[Empty lines]:[Name organisation]])&gt;0,0)),"")</f>
        <v/>
      </c>
      <c r="C452" s="113" t="str">
        <f>IFERROR(IF(AND(LEN(INDEX(pers_other_inst_2021[Description],A452))+LEN(INDEX(pers_other_inst_2021[Scale],A452))+LEN(INDEX(pers_other_inst_2021[Hourly rate],A452))+LEN(INDEX(pers_other_inst_2021[Total '# hrs],A452))+LEN(INDEX(pers_other_inst_2021[Months],A452))&gt;0,LEN(INDEX(pers_other_inst_2021[Description],A452-1))++LEN(INDEX(pers_other_inst_2021[Scale],A452-1))+LEN(INDEX(pers_other_inst_2021[Hourly rate],A452-1))+LEN(INDEX(pers_other_inst_2021[Total '# hrs],A452-1))+LEN(INDEX(pers_other_inst_2021[Months],A452-1))=0),$B$127,""),"")</f>
        <v/>
      </c>
      <c r="D452" s="113" t="str">
        <f>IFERROR(IF(AND(INDEX(pers_other_inst_2021[Description],A452)="",OR(INDEX(pers_other_inst_2021[Total '# hrs],A452)&gt;0,INDEX(pers_other_inst_2021[Months],A452)&gt;0,INDEX(pers_other_inst_2021[Hourly rate],A452)&gt;0)),$B$154,""),"")</f>
        <v/>
      </c>
      <c r="E452" s="113" t="e">
        <f>SUBSTITUTE(IF(INDEX(pers_other_inst_2021[Hourly rate],A452)&gt;IFERROR(INDEX(salaries_other_inst[Max hourly rate],MATCH(INDEX(pers_other_inst_2021[Scale],A452),salaries_other_inst[category],0),1),""),$B$153,""),"&lt;&lt;max_hourly_rate&gt;&gt;",TEXT(IFERROR(INDEX(salaries_other_inst[Max hourly rate],MATCH(INDEX(pers_other_inst_2021[Scale],A452),salaries_other_inst[category],0),1),""),"€ #"))</f>
        <v>#REF!</v>
      </c>
      <c r="F452" s="113" t="str">
        <f>IFERROR(IF(AND(INDEX(pers_other_inst_2021[Amount],A452)&lt;&gt;"",INDEX(pers_other_inst_2021[Months],A452)=0),$B$155,""),"")</f>
        <v/>
      </c>
      <c r="G452" s="113" t="str">
        <f>IFERROR(IF(12*INDEX(pers_other_inst_2021[Total '# hrs],A452)/INDEX(pers_other_inst_2021[Months],A452)&gt;pers_other_nrhours_year,checks!$A$156,""),"")</f>
        <v/>
      </c>
      <c r="H452" t="e">
        <f>IF(AND(organisation_type="yes",INDEX(pers_other_inst_2021[Amount],A348,1)&lt;&gt;"",ISBLANK(INDEX(pers_other_inst_2021[Organisation type],A348,1))),$B$146,"")</f>
        <v>#REF!</v>
      </c>
      <c r="I452" t="e">
        <f>IF(AND(organisation_name="yes",INDEX(pers_other_inst_2021[Amount],A452,1)&lt;&gt;"",ISBLANK(INDEX(pers_other_inst_2021[Name organisation],A452,1))),$B$147,"")</f>
        <v>#REF!</v>
      </c>
    </row>
    <row r="453" spans="1:9" hidden="1" outlineLevel="1" x14ac:dyDescent="0.35">
      <c r="A453" s="113">
        <v>38</v>
      </c>
      <c r="B453" s="113" t="str">
        <f t="array" ref="B453">IFERROR(INDEX(personnel_other_inst_21[[#This Row],[Empty lines]:[Name organisation]],1,MATCH(TRUE,LEN(personnel_other_inst_21[[#This Row],[Empty lines]:[Name organisation]])&gt;0,0)),"")</f>
        <v/>
      </c>
      <c r="C453" s="113" t="str">
        <f>IFERROR(IF(AND(LEN(INDEX(pers_other_inst_2021[Description],A453))+LEN(INDEX(pers_other_inst_2021[Scale],A453))+LEN(INDEX(pers_other_inst_2021[Hourly rate],A453))+LEN(INDEX(pers_other_inst_2021[Total '# hrs],A453))+LEN(INDEX(pers_other_inst_2021[Months],A453))&gt;0,LEN(INDEX(pers_other_inst_2021[Description],A453-1))++LEN(INDEX(pers_other_inst_2021[Scale],A453-1))+LEN(INDEX(pers_other_inst_2021[Hourly rate],A453-1))+LEN(INDEX(pers_other_inst_2021[Total '# hrs],A453-1))+LEN(INDEX(pers_other_inst_2021[Months],A453-1))=0),$B$127,""),"")</f>
        <v/>
      </c>
      <c r="D453" s="113" t="str">
        <f>IFERROR(IF(AND(INDEX(pers_other_inst_2021[Description],A453)="",OR(INDEX(pers_other_inst_2021[Total '# hrs],A453)&gt;0,INDEX(pers_other_inst_2021[Months],A453)&gt;0,INDEX(pers_other_inst_2021[Hourly rate],A453)&gt;0)),$B$154,""),"")</f>
        <v/>
      </c>
      <c r="E453" s="113" t="e">
        <f>SUBSTITUTE(IF(INDEX(pers_other_inst_2021[Hourly rate],A453)&gt;IFERROR(INDEX(salaries_other_inst[Max hourly rate],MATCH(INDEX(pers_other_inst_2021[Scale],A453),salaries_other_inst[category],0),1),""),$B$153,""),"&lt;&lt;max_hourly_rate&gt;&gt;",TEXT(IFERROR(INDEX(salaries_other_inst[Max hourly rate],MATCH(INDEX(pers_other_inst_2021[Scale],A453),salaries_other_inst[category],0),1),""),"€ #"))</f>
        <v>#REF!</v>
      </c>
      <c r="F453" s="113" t="str">
        <f>IFERROR(IF(AND(INDEX(pers_other_inst_2021[Amount],A453)&lt;&gt;"",INDEX(pers_other_inst_2021[Months],A453)=0),$B$155,""),"")</f>
        <v/>
      </c>
      <c r="G453" s="113" t="str">
        <f>IFERROR(IF(12*INDEX(pers_other_inst_2021[Total '# hrs],A453)/INDEX(pers_other_inst_2021[Months],A453)&gt;pers_other_nrhours_year,checks!$A$156,""),"")</f>
        <v/>
      </c>
      <c r="H453" t="e">
        <f>IF(AND(organisation_type="yes",INDEX(pers_other_inst_2021[Amount],A349,1)&lt;&gt;"",ISBLANK(INDEX(pers_other_inst_2021[Organisation type],A349,1))),$B$146,"")</f>
        <v>#REF!</v>
      </c>
      <c r="I453" t="e">
        <f>IF(AND(organisation_name="yes",INDEX(pers_other_inst_2021[Amount],A453,1)&lt;&gt;"",ISBLANK(INDEX(pers_other_inst_2021[Name organisation],A453,1))),$B$147,"")</f>
        <v>#REF!</v>
      </c>
    </row>
    <row r="454" spans="1:9" hidden="1" outlineLevel="1" x14ac:dyDescent="0.35">
      <c r="A454" s="113">
        <v>39</v>
      </c>
      <c r="B454" s="113" t="str">
        <f t="array" ref="B454">IFERROR(INDEX(personnel_other_inst_21[[#This Row],[Empty lines]:[Name organisation]],1,MATCH(TRUE,LEN(personnel_other_inst_21[[#This Row],[Empty lines]:[Name organisation]])&gt;0,0)),"")</f>
        <v/>
      </c>
      <c r="C454" s="113" t="str">
        <f>IFERROR(IF(AND(LEN(INDEX(pers_other_inst_2021[Description],A454))+LEN(INDEX(pers_other_inst_2021[Scale],A454))+LEN(INDEX(pers_other_inst_2021[Hourly rate],A454))+LEN(INDEX(pers_other_inst_2021[Total '# hrs],A454))+LEN(INDEX(pers_other_inst_2021[Months],A454))&gt;0,LEN(INDEX(pers_other_inst_2021[Description],A454-1))++LEN(INDEX(pers_other_inst_2021[Scale],A454-1))+LEN(INDEX(pers_other_inst_2021[Hourly rate],A454-1))+LEN(INDEX(pers_other_inst_2021[Total '# hrs],A454-1))+LEN(INDEX(pers_other_inst_2021[Months],A454-1))=0),$B$127,""),"")</f>
        <v/>
      </c>
      <c r="D454" s="113" t="str">
        <f>IFERROR(IF(AND(INDEX(pers_other_inst_2021[Description],A454)="",OR(INDEX(pers_other_inst_2021[Total '# hrs],A454)&gt;0,INDEX(pers_other_inst_2021[Months],A454)&gt;0,INDEX(pers_other_inst_2021[Hourly rate],A454)&gt;0)),$B$154,""),"")</f>
        <v/>
      </c>
      <c r="E454" s="113" t="e">
        <f>SUBSTITUTE(IF(INDEX(pers_other_inst_2021[Hourly rate],A454)&gt;IFERROR(INDEX(salaries_other_inst[Max hourly rate],MATCH(INDEX(pers_other_inst_2021[Scale],A454),salaries_other_inst[category],0),1),""),$B$153,""),"&lt;&lt;max_hourly_rate&gt;&gt;",TEXT(IFERROR(INDEX(salaries_other_inst[Max hourly rate],MATCH(INDEX(pers_other_inst_2021[Scale],A454),salaries_other_inst[category],0),1),""),"€ #"))</f>
        <v>#REF!</v>
      </c>
      <c r="F454" s="113" t="str">
        <f>IFERROR(IF(AND(INDEX(pers_other_inst_2021[Amount],A454)&lt;&gt;"",INDEX(pers_other_inst_2021[Months],A454)=0),$B$155,""),"")</f>
        <v/>
      </c>
      <c r="G454" s="113" t="str">
        <f>IFERROR(IF(12*INDEX(pers_other_inst_2021[Total '# hrs],A454)/INDEX(pers_other_inst_2021[Months],A454)&gt;pers_other_nrhours_year,checks!$A$156,""),"")</f>
        <v/>
      </c>
      <c r="H454" t="e">
        <f>IF(AND(organisation_type="yes",INDEX(pers_other_inst_2021[Amount],A350,1)&lt;&gt;"",ISBLANK(INDEX(pers_other_inst_2021[Organisation type],A350,1))),$B$146,"")</f>
        <v>#REF!</v>
      </c>
      <c r="I454" t="e">
        <f>IF(AND(organisation_name="yes",INDEX(pers_other_inst_2021[Amount],A454,1)&lt;&gt;"",ISBLANK(INDEX(pers_other_inst_2021[Name organisation],A454,1))),$B$147,"")</f>
        <v>#REF!</v>
      </c>
    </row>
    <row r="455" spans="1:9" hidden="1" outlineLevel="1" x14ac:dyDescent="0.35">
      <c r="A455" s="113">
        <v>40</v>
      </c>
      <c r="B455" s="113" t="str">
        <f t="array" ref="B455">IFERROR(INDEX(personnel_other_inst_21[[#This Row],[Empty lines]:[Name organisation]],1,MATCH(TRUE,LEN(personnel_other_inst_21[[#This Row],[Empty lines]:[Name organisation]])&gt;0,0)),"")</f>
        <v/>
      </c>
      <c r="C455" s="113" t="str">
        <f>IFERROR(IF(AND(LEN(INDEX(pers_other_inst_2021[Description],A455))+LEN(INDEX(pers_other_inst_2021[Scale],A455))+LEN(INDEX(pers_other_inst_2021[Hourly rate],A455))+LEN(INDEX(pers_other_inst_2021[Total '# hrs],A455))+LEN(INDEX(pers_other_inst_2021[Months],A455))&gt;0,LEN(INDEX(pers_other_inst_2021[Description],A455-1))++LEN(INDEX(pers_other_inst_2021[Scale],A455-1))+LEN(INDEX(pers_other_inst_2021[Hourly rate],A455-1))+LEN(INDEX(pers_other_inst_2021[Total '# hrs],A455-1))+LEN(INDEX(pers_other_inst_2021[Months],A455-1))=0),$B$127,""),"")</f>
        <v/>
      </c>
      <c r="D455" s="113" t="str">
        <f>IFERROR(IF(AND(INDEX(pers_other_inst_2021[Description],A455)="",OR(INDEX(pers_other_inst_2021[Total '# hrs],A455)&gt;0,INDEX(pers_other_inst_2021[Months],A455)&gt;0,INDEX(pers_other_inst_2021[Hourly rate],A455)&gt;0)),$B$154,""),"")</f>
        <v/>
      </c>
      <c r="E455" s="113" t="e">
        <f>SUBSTITUTE(IF(INDEX(pers_other_inst_2021[Hourly rate],A455)&gt;IFERROR(INDEX(salaries_other_inst[Max hourly rate],MATCH(INDEX(pers_other_inst_2021[Scale],A455),salaries_other_inst[category],0),1),""),$B$153,""),"&lt;&lt;max_hourly_rate&gt;&gt;",TEXT(IFERROR(INDEX(salaries_other_inst[Max hourly rate],MATCH(INDEX(pers_other_inst_2021[Scale],A455),salaries_other_inst[category],0),1),""),"€ #"))</f>
        <v>#REF!</v>
      </c>
      <c r="F455" s="113" t="str">
        <f>IFERROR(IF(AND(INDEX(pers_other_inst_2021[Amount],A455)&lt;&gt;"",INDEX(pers_other_inst_2021[Months],A455)=0),$B$155,""),"")</f>
        <v/>
      </c>
      <c r="G455" s="113" t="str">
        <f>IFERROR(IF(12*INDEX(pers_other_inst_2021[Total '# hrs],A455)/INDEX(pers_other_inst_2021[Months],A455)&gt;pers_other_nrhours_year,checks!$A$156,""),"")</f>
        <v/>
      </c>
      <c r="H455" t="e">
        <f>IF(AND(organisation_type="yes",INDEX(pers_other_inst_2021[Amount],A351,1)&lt;&gt;"",ISBLANK(INDEX(pers_other_inst_2021[Organisation type],A351,1))),$B$146,"")</f>
        <v>#REF!</v>
      </c>
      <c r="I455" t="e">
        <f>IF(AND(organisation_name="yes",INDEX(pers_other_inst_2021[Amount],A455,1)&lt;&gt;"",ISBLANK(INDEX(pers_other_inst_2021[Name organisation],A455,1))),$B$147,"")</f>
        <v>#REF!</v>
      </c>
    </row>
    <row r="456" spans="1:9" hidden="1" outlineLevel="1" x14ac:dyDescent="0.35">
      <c r="A456" s="113">
        <v>41</v>
      </c>
      <c r="B456" s="113" t="str">
        <f t="array" ref="B456">IFERROR(INDEX(personnel_other_inst_21[[#This Row],[Empty lines]:[Name organisation]],1,MATCH(TRUE,LEN(personnel_other_inst_21[[#This Row],[Empty lines]:[Name organisation]])&gt;0,0)),"")</f>
        <v/>
      </c>
      <c r="C456" s="113" t="str">
        <f>IFERROR(IF(AND(LEN(INDEX(pers_other_inst_2021[Description],A456))+LEN(INDEX(pers_other_inst_2021[Scale],A456))+LEN(INDEX(pers_other_inst_2021[Hourly rate],A456))+LEN(INDEX(pers_other_inst_2021[Total '# hrs],A456))+LEN(INDEX(pers_other_inst_2021[Months],A456))&gt;0,LEN(INDEX(pers_other_inst_2021[Description],A456-1))++LEN(INDEX(pers_other_inst_2021[Scale],A456-1))+LEN(INDEX(pers_other_inst_2021[Hourly rate],A456-1))+LEN(INDEX(pers_other_inst_2021[Total '# hrs],A456-1))+LEN(INDEX(pers_other_inst_2021[Months],A456-1))=0),$B$127,""),"")</f>
        <v/>
      </c>
      <c r="D456" s="113" t="str">
        <f>IFERROR(IF(AND(INDEX(pers_other_inst_2021[Description],A456)="",OR(INDEX(pers_other_inst_2021[Total '# hrs],A456)&gt;0,INDEX(pers_other_inst_2021[Months],A456)&gt;0,INDEX(pers_other_inst_2021[Hourly rate],A456)&gt;0)),$B$154,""),"")</f>
        <v/>
      </c>
      <c r="E456" s="113" t="e">
        <f>SUBSTITUTE(IF(INDEX(pers_other_inst_2021[Hourly rate],A456)&gt;IFERROR(INDEX(salaries_other_inst[Max hourly rate],MATCH(INDEX(pers_other_inst_2021[Scale],A456),salaries_other_inst[category],0),1),""),$B$153,""),"&lt;&lt;max_hourly_rate&gt;&gt;",TEXT(IFERROR(INDEX(salaries_other_inst[Max hourly rate],MATCH(INDEX(pers_other_inst_2021[Scale],A456),salaries_other_inst[category],0),1),""),"€ #"))</f>
        <v>#REF!</v>
      </c>
      <c r="F456" s="113" t="str">
        <f>IFERROR(IF(AND(INDEX(pers_other_inst_2021[Amount],A456)&lt;&gt;"",INDEX(pers_other_inst_2021[Months],A456)=0),$B$155,""),"")</f>
        <v/>
      </c>
      <c r="G456" s="113" t="str">
        <f>IFERROR(IF(12*INDEX(pers_other_inst_2021[Total '# hrs],A456)/INDEX(pers_other_inst_2021[Months],A456)&gt;pers_other_nrhours_year,checks!$A$156,""),"")</f>
        <v/>
      </c>
      <c r="H456" t="e">
        <f>IF(AND(organisation_type="yes",INDEX(pers_other_inst_2021[Amount],A352,1)&lt;&gt;"",ISBLANK(INDEX(pers_other_inst_2021[Organisation type],A352,1))),$B$146,"")</f>
        <v>#REF!</v>
      </c>
      <c r="I456" t="e">
        <f>IF(AND(organisation_name="yes",INDEX(pers_other_inst_2021[Amount],A456,1)&lt;&gt;"",ISBLANK(INDEX(pers_other_inst_2021[Name organisation],A456,1))),$B$147,"")</f>
        <v>#REF!</v>
      </c>
    </row>
    <row r="457" spans="1:9" hidden="1" outlineLevel="1" x14ac:dyDescent="0.35">
      <c r="A457" s="113">
        <v>42</v>
      </c>
      <c r="B457" s="113" t="str">
        <f t="array" ref="B457">IFERROR(INDEX(personnel_other_inst_21[[#This Row],[Empty lines]:[Name organisation]],1,MATCH(TRUE,LEN(personnel_other_inst_21[[#This Row],[Empty lines]:[Name organisation]])&gt;0,0)),"")</f>
        <v/>
      </c>
      <c r="C457" s="113" t="str">
        <f>IFERROR(IF(AND(LEN(INDEX(pers_other_inst_2021[Description],A457))+LEN(INDEX(pers_other_inst_2021[Scale],A457))+LEN(INDEX(pers_other_inst_2021[Hourly rate],A457))+LEN(INDEX(pers_other_inst_2021[Total '# hrs],A457))+LEN(INDEX(pers_other_inst_2021[Months],A457))&gt;0,LEN(INDEX(pers_other_inst_2021[Description],A457-1))++LEN(INDEX(pers_other_inst_2021[Scale],A457-1))+LEN(INDEX(pers_other_inst_2021[Hourly rate],A457-1))+LEN(INDEX(pers_other_inst_2021[Total '# hrs],A457-1))+LEN(INDEX(pers_other_inst_2021[Months],A457-1))=0),$B$127,""),"")</f>
        <v/>
      </c>
      <c r="D457" s="113" t="str">
        <f>IFERROR(IF(AND(INDEX(pers_other_inst_2021[Description],A457)="",OR(INDEX(pers_other_inst_2021[Total '# hrs],A457)&gt;0,INDEX(pers_other_inst_2021[Months],A457)&gt;0,INDEX(pers_other_inst_2021[Hourly rate],A457)&gt;0)),$B$154,""),"")</f>
        <v/>
      </c>
      <c r="E457" s="113" t="e">
        <f>SUBSTITUTE(IF(INDEX(pers_other_inst_2021[Hourly rate],A457)&gt;IFERROR(INDEX(salaries_other_inst[Max hourly rate],MATCH(INDEX(pers_other_inst_2021[Scale],A457),salaries_other_inst[category],0),1),""),$B$153,""),"&lt;&lt;max_hourly_rate&gt;&gt;",TEXT(IFERROR(INDEX(salaries_other_inst[Max hourly rate],MATCH(INDEX(pers_other_inst_2021[Scale],A457),salaries_other_inst[category],0),1),""),"€ #"))</f>
        <v>#REF!</v>
      </c>
      <c r="F457" s="113" t="str">
        <f>IFERROR(IF(AND(INDEX(pers_other_inst_2021[Amount],A457)&lt;&gt;"",INDEX(pers_other_inst_2021[Months],A457)=0),$B$155,""),"")</f>
        <v/>
      </c>
      <c r="G457" s="113" t="str">
        <f>IFERROR(IF(12*INDEX(pers_other_inst_2021[Total '# hrs],A457)/INDEX(pers_other_inst_2021[Months],A457)&gt;pers_other_nrhours_year,checks!$A$156,""),"")</f>
        <v/>
      </c>
      <c r="H457" t="e">
        <f>IF(AND(organisation_type="yes",INDEX(pers_other_inst_2021[Amount],A353,1)&lt;&gt;"",ISBLANK(INDEX(pers_other_inst_2021[Organisation type],A353,1))),$B$146,"")</f>
        <v>#REF!</v>
      </c>
      <c r="I457" t="e">
        <f>IF(AND(organisation_name="yes",INDEX(pers_other_inst_2021[Amount],A457,1)&lt;&gt;"",ISBLANK(INDEX(pers_other_inst_2021[Name organisation],A457,1))),$B$147,"")</f>
        <v>#REF!</v>
      </c>
    </row>
    <row r="458" spans="1:9" hidden="1" outlineLevel="1" x14ac:dyDescent="0.35">
      <c r="A458" s="113">
        <v>43</v>
      </c>
      <c r="B458" s="113" t="str">
        <f t="array" ref="B458">IFERROR(INDEX(personnel_other_inst_21[[#This Row],[Empty lines]:[Name organisation]],1,MATCH(TRUE,LEN(personnel_other_inst_21[[#This Row],[Empty lines]:[Name organisation]])&gt;0,0)),"")</f>
        <v/>
      </c>
      <c r="C458" s="113" t="str">
        <f>IFERROR(IF(AND(LEN(INDEX(pers_other_inst_2021[Description],A458))+LEN(INDEX(pers_other_inst_2021[Scale],A458))+LEN(INDEX(pers_other_inst_2021[Hourly rate],A458))+LEN(INDEX(pers_other_inst_2021[Total '# hrs],A458))+LEN(INDEX(pers_other_inst_2021[Months],A458))&gt;0,LEN(INDEX(pers_other_inst_2021[Description],A458-1))++LEN(INDEX(pers_other_inst_2021[Scale],A458-1))+LEN(INDEX(pers_other_inst_2021[Hourly rate],A458-1))+LEN(INDEX(pers_other_inst_2021[Total '# hrs],A458-1))+LEN(INDEX(pers_other_inst_2021[Months],A458-1))=0),$B$127,""),"")</f>
        <v/>
      </c>
      <c r="D458" s="113" t="str">
        <f>IFERROR(IF(AND(INDEX(pers_other_inst_2021[Description],A458)="",OR(INDEX(pers_other_inst_2021[Total '# hrs],A458)&gt;0,INDEX(pers_other_inst_2021[Months],A458)&gt;0,INDEX(pers_other_inst_2021[Hourly rate],A458)&gt;0)),$B$154,""),"")</f>
        <v/>
      </c>
      <c r="E458" s="113" t="e">
        <f>SUBSTITUTE(IF(INDEX(pers_other_inst_2021[Hourly rate],A458)&gt;IFERROR(INDEX(salaries_other_inst[Max hourly rate],MATCH(INDEX(pers_other_inst_2021[Scale],A458),salaries_other_inst[category],0),1),""),$B$153,""),"&lt;&lt;max_hourly_rate&gt;&gt;",TEXT(IFERROR(INDEX(salaries_other_inst[Max hourly rate],MATCH(INDEX(pers_other_inst_2021[Scale],A458),salaries_other_inst[category],0),1),""),"€ #"))</f>
        <v>#REF!</v>
      </c>
      <c r="F458" s="113" t="str">
        <f>IFERROR(IF(AND(INDEX(pers_other_inst_2021[Amount],A458)&lt;&gt;"",INDEX(pers_other_inst_2021[Months],A458)=0),$B$155,""),"")</f>
        <v/>
      </c>
      <c r="G458" s="113" t="str">
        <f>IFERROR(IF(12*INDEX(pers_other_inst_2021[Total '# hrs],A458)/INDEX(pers_other_inst_2021[Months],A458)&gt;pers_other_nrhours_year,checks!$A$156,""),"")</f>
        <v/>
      </c>
      <c r="H458" t="e">
        <f>IF(AND(organisation_type="yes",INDEX(pers_other_inst_2021[Amount],A354,1)&lt;&gt;"",ISBLANK(INDEX(pers_other_inst_2021[Organisation type],A354,1))),$B$146,"")</f>
        <v>#REF!</v>
      </c>
      <c r="I458" t="e">
        <f>IF(AND(organisation_name="yes",INDEX(pers_other_inst_2021[Amount],A458,1)&lt;&gt;"",ISBLANK(INDEX(pers_other_inst_2021[Name organisation],A458,1))),$B$147,"")</f>
        <v>#REF!</v>
      </c>
    </row>
    <row r="459" spans="1:9" hidden="1" outlineLevel="1" x14ac:dyDescent="0.35">
      <c r="A459" s="113">
        <v>44</v>
      </c>
      <c r="B459" s="113" t="str">
        <f t="array" ref="B459">IFERROR(INDEX(personnel_other_inst_21[[#This Row],[Empty lines]:[Name organisation]],1,MATCH(TRUE,LEN(personnel_other_inst_21[[#This Row],[Empty lines]:[Name organisation]])&gt;0,0)),"")</f>
        <v/>
      </c>
      <c r="C459" s="113" t="str">
        <f>IFERROR(IF(AND(LEN(INDEX(pers_other_inst_2021[Description],A459))+LEN(INDEX(pers_other_inst_2021[Scale],A459))+LEN(INDEX(pers_other_inst_2021[Hourly rate],A459))+LEN(INDEX(pers_other_inst_2021[Total '# hrs],A459))+LEN(INDEX(pers_other_inst_2021[Months],A459))&gt;0,LEN(INDEX(pers_other_inst_2021[Description],A459-1))++LEN(INDEX(pers_other_inst_2021[Scale],A459-1))+LEN(INDEX(pers_other_inst_2021[Hourly rate],A459-1))+LEN(INDEX(pers_other_inst_2021[Total '# hrs],A459-1))+LEN(INDEX(pers_other_inst_2021[Months],A459-1))=0),$B$127,""),"")</f>
        <v/>
      </c>
      <c r="D459" s="113" t="str">
        <f>IFERROR(IF(AND(INDEX(pers_other_inst_2021[Description],A459)="",OR(INDEX(pers_other_inst_2021[Total '# hrs],A459)&gt;0,INDEX(pers_other_inst_2021[Months],A459)&gt;0,INDEX(pers_other_inst_2021[Hourly rate],A459)&gt;0)),$B$154,""),"")</f>
        <v/>
      </c>
      <c r="E459" s="113" t="e">
        <f>SUBSTITUTE(IF(INDEX(pers_other_inst_2021[Hourly rate],A459)&gt;IFERROR(INDEX(salaries_other_inst[Max hourly rate],MATCH(INDEX(pers_other_inst_2021[Scale],A459),salaries_other_inst[category],0),1),""),$B$153,""),"&lt;&lt;max_hourly_rate&gt;&gt;",TEXT(IFERROR(INDEX(salaries_other_inst[Max hourly rate],MATCH(INDEX(pers_other_inst_2021[Scale],A459),salaries_other_inst[category],0),1),""),"€ #"))</f>
        <v>#REF!</v>
      </c>
      <c r="F459" s="113" t="str">
        <f>IFERROR(IF(AND(INDEX(pers_other_inst_2021[Amount],A459)&lt;&gt;"",INDEX(pers_other_inst_2021[Months],A459)=0),$B$155,""),"")</f>
        <v/>
      </c>
      <c r="G459" s="113" t="str">
        <f>IFERROR(IF(12*INDEX(pers_other_inst_2021[Total '# hrs],A459)/INDEX(pers_other_inst_2021[Months],A459)&gt;pers_other_nrhours_year,checks!$A$156,""),"")</f>
        <v/>
      </c>
      <c r="H459" t="e">
        <f>IF(AND(organisation_type="yes",INDEX(pers_other_inst_2021[Amount],A355,1)&lt;&gt;"",ISBLANK(INDEX(pers_other_inst_2021[Organisation type],A355,1))),$B$146,"")</f>
        <v>#REF!</v>
      </c>
      <c r="I459" t="e">
        <f>IF(AND(organisation_name="yes",INDEX(pers_other_inst_2021[Amount],A459,1)&lt;&gt;"",ISBLANK(INDEX(pers_other_inst_2021[Name organisation],A459,1))),$B$147,"")</f>
        <v>#REF!</v>
      </c>
    </row>
    <row r="460" spans="1:9" hidden="1" outlineLevel="1" x14ac:dyDescent="0.35">
      <c r="A460" s="113">
        <v>45</v>
      </c>
      <c r="B460" s="113" t="str">
        <f t="array" ref="B460">IFERROR(INDEX(personnel_other_inst_21[[#This Row],[Empty lines]:[Name organisation]],1,MATCH(TRUE,LEN(personnel_other_inst_21[[#This Row],[Empty lines]:[Name organisation]])&gt;0,0)),"")</f>
        <v/>
      </c>
      <c r="C460" s="113" t="str">
        <f>IFERROR(IF(AND(LEN(INDEX(pers_other_inst_2021[Description],A460))+LEN(INDEX(pers_other_inst_2021[Scale],A460))+LEN(INDEX(pers_other_inst_2021[Hourly rate],A460))+LEN(INDEX(pers_other_inst_2021[Total '# hrs],A460))+LEN(INDEX(pers_other_inst_2021[Months],A460))&gt;0,LEN(INDEX(pers_other_inst_2021[Description],A460-1))++LEN(INDEX(pers_other_inst_2021[Scale],A460-1))+LEN(INDEX(pers_other_inst_2021[Hourly rate],A460-1))+LEN(INDEX(pers_other_inst_2021[Total '# hrs],A460-1))+LEN(INDEX(pers_other_inst_2021[Months],A460-1))=0),$B$127,""),"")</f>
        <v/>
      </c>
      <c r="D460" s="113" t="str">
        <f>IFERROR(IF(AND(INDEX(pers_other_inst_2021[Description],A460)="",OR(INDEX(pers_other_inst_2021[Total '# hrs],A460)&gt;0,INDEX(pers_other_inst_2021[Months],A460)&gt;0,INDEX(pers_other_inst_2021[Hourly rate],A460)&gt;0)),$B$154,""),"")</f>
        <v/>
      </c>
      <c r="E460" s="113" t="e">
        <f>SUBSTITUTE(IF(INDEX(pers_other_inst_2021[Hourly rate],A460)&gt;IFERROR(INDEX(salaries_other_inst[Max hourly rate],MATCH(INDEX(pers_other_inst_2021[Scale],A460),salaries_other_inst[category],0),1),""),$B$153,""),"&lt;&lt;max_hourly_rate&gt;&gt;",TEXT(IFERROR(INDEX(salaries_other_inst[Max hourly rate],MATCH(INDEX(pers_other_inst_2021[Scale],A460),salaries_other_inst[category],0),1),""),"€ #"))</f>
        <v>#REF!</v>
      </c>
      <c r="F460" s="113" t="str">
        <f>IFERROR(IF(AND(INDEX(pers_other_inst_2021[Amount],A460)&lt;&gt;"",INDEX(pers_other_inst_2021[Months],A460)=0),$B$155,""),"")</f>
        <v/>
      </c>
      <c r="G460" s="113" t="str">
        <f>IFERROR(IF(12*INDEX(pers_other_inst_2021[Total '# hrs],A460)/INDEX(pers_other_inst_2021[Months],A460)&gt;pers_other_nrhours_year,checks!$A$156,""),"")</f>
        <v/>
      </c>
      <c r="H460" t="e">
        <f>IF(AND(organisation_type="yes",INDEX(pers_other_inst_2021[Amount],A356,1)&lt;&gt;"",ISBLANK(INDEX(pers_other_inst_2021[Organisation type],A356,1))),$B$146,"")</f>
        <v>#REF!</v>
      </c>
      <c r="I460" t="e">
        <f>IF(AND(organisation_name="yes",INDEX(pers_other_inst_2021[Amount],A460,1)&lt;&gt;"",ISBLANK(INDEX(pers_other_inst_2021[Name organisation],A460,1))),$B$147,"")</f>
        <v>#REF!</v>
      </c>
    </row>
    <row r="461" spans="1:9" hidden="1" outlineLevel="1" x14ac:dyDescent="0.35">
      <c r="A461" s="113">
        <v>46</v>
      </c>
      <c r="B461" s="113" t="str">
        <f t="array" ref="B461">IFERROR(INDEX(personnel_other_inst_21[[#This Row],[Empty lines]:[Name organisation]],1,MATCH(TRUE,LEN(personnel_other_inst_21[[#This Row],[Empty lines]:[Name organisation]])&gt;0,0)),"")</f>
        <v/>
      </c>
      <c r="C461" s="113" t="str">
        <f>IFERROR(IF(AND(LEN(INDEX(pers_other_inst_2021[Description],A461))+LEN(INDEX(pers_other_inst_2021[Scale],A461))+LEN(INDEX(pers_other_inst_2021[Hourly rate],A461))+LEN(INDEX(pers_other_inst_2021[Total '# hrs],A461))+LEN(INDEX(pers_other_inst_2021[Months],A461))&gt;0,LEN(INDEX(pers_other_inst_2021[Description],A461-1))++LEN(INDEX(pers_other_inst_2021[Scale],A461-1))+LEN(INDEX(pers_other_inst_2021[Hourly rate],A461-1))+LEN(INDEX(pers_other_inst_2021[Total '# hrs],A461-1))+LEN(INDEX(pers_other_inst_2021[Months],A461-1))=0),$B$127,""),"")</f>
        <v/>
      </c>
      <c r="D461" s="113" t="str">
        <f>IFERROR(IF(AND(INDEX(pers_other_inst_2021[Description],A461)="",OR(INDEX(pers_other_inst_2021[Total '# hrs],A461)&gt;0,INDEX(pers_other_inst_2021[Months],A461)&gt;0,INDEX(pers_other_inst_2021[Hourly rate],A461)&gt;0)),$B$154,""),"")</f>
        <v/>
      </c>
      <c r="E461" s="113" t="e">
        <f>SUBSTITUTE(IF(INDEX(pers_other_inst_2021[Hourly rate],A461)&gt;IFERROR(INDEX(salaries_other_inst[Max hourly rate],MATCH(INDEX(pers_other_inst_2021[Scale],A461),salaries_other_inst[category],0),1),""),$B$153,""),"&lt;&lt;max_hourly_rate&gt;&gt;",TEXT(IFERROR(INDEX(salaries_other_inst[Max hourly rate],MATCH(INDEX(pers_other_inst_2021[Scale],A461),salaries_other_inst[category],0),1),""),"€ #"))</f>
        <v>#REF!</v>
      </c>
      <c r="F461" s="113" t="str">
        <f>IFERROR(IF(AND(INDEX(pers_other_inst_2021[Amount],A461)&lt;&gt;"",INDEX(pers_other_inst_2021[Months],A461)=0),$B$155,""),"")</f>
        <v/>
      </c>
      <c r="G461" s="113" t="str">
        <f>IFERROR(IF(12*INDEX(pers_other_inst_2021[Total '# hrs],A461)/INDEX(pers_other_inst_2021[Months],A461)&gt;pers_other_nrhours_year,checks!$A$156,""),"")</f>
        <v/>
      </c>
      <c r="H461" t="e">
        <f>IF(AND(organisation_type="yes",INDEX(pers_other_inst_2021[Amount],A357,1)&lt;&gt;"",ISBLANK(INDEX(pers_other_inst_2021[Organisation type],A357,1))),$B$146,"")</f>
        <v>#REF!</v>
      </c>
      <c r="I461" t="e">
        <f>IF(AND(organisation_name="yes",INDEX(pers_other_inst_2021[Amount],A461,1)&lt;&gt;"",ISBLANK(INDEX(pers_other_inst_2021[Name organisation],A461,1))),$B$147,"")</f>
        <v>#REF!</v>
      </c>
    </row>
    <row r="462" spans="1:9" hidden="1" outlineLevel="1" x14ac:dyDescent="0.35">
      <c r="A462" s="113">
        <v>47</v>
      </c>
      <c r="B462" s="113" t="str">
        <f t="array" ref="B462">IFERROR(INDEX(personnel_other_inst_21[[#This Row],[Empty lines]:[Name organisation]],1,MATCH(TRUE,LEN(personnel_other_inst_21[[#This Row],[Empty lines]:[Name organisation]])&gt;0,0)),"")</f>
        <v/>
      </c>
      <c r="C462" s="113" t="str">
        <f>IFERROR(IF(AND(LEN(INDEX(pers_other_inst_2021[Description],A462))+LEN(INDEX(pers_other_inst_2021[Scale],A462))+LEN(INDEX(pers_other_inst_2021[Hourly rate],A462))+LEN(INDEX(pers_other_inst_2021[Total '# hrs],A462))+LEN(INDEX(pers_other_inst_2021[Months],A462))&gt;0,LEN(INDEX(pers_other_inst_2021[Description],A462-1))++LEN(INDEX(pers_other_inst_2021[Scale],A462-1))+LEN(INDEX(pers_other_inst_2021[Hourly rate],A462-1))+LEN(INDEX(pers_other_inst_2021[Total '# hrs],A462-1))+LEN(INDEX(pers_other_inst_2021[Months],A462-1))=0),$B$127,""),"")</f>
        <v/>
      </c>
      <c r="D462" s="113" t="str">
        <f>IFERROR(IF(AND(INDEX(pers_other_inst_2021[Description],A462)="",OR(INDEX(pers_other_inst_2021[Total '# hrs],A462)&gt;0,INDEX(pers_other_inst_2021[Months],A462)&gt;0,INDEX(pers_other_inst_2021[Hourly rate],A462)&gt;0)),$B$154,""),"")</f>
        <v/>
      </c>
      <c r="E462" s="113" t="e">
        <f>SUBSTITUTE(IF(INDEX(pers_other_inst_2021[Hourly rate],A462)&gt;IFERROR(INDEX(salaries_other_inst[Max hourly rate],MATCH(INDEX(pers_other_inst_2021[Scale],A462),salaries_other_inst[category],0),1),""),$B$153,""),"&lt;&lt;max_hourly_rate&gt;&gt;",TEXT(IFERROR(INDEX(salaries_other_inst[Max hourly rate],MATCH(INDEX(pers_other_inst_2021[Scale],A462),salaries_other_inst[category],0),1),""),"€ #"))</f>
        <v>#REF!</v>
      </c>
      <c r="F462" s="113" t="str">
        <f>IFERROR(IF(AND(INDEX(pers_other_inst_2021[Amount],A462)&lt;&gt;"",INDEX(pers_other_inst_2021[Months],A462)=0),$B$155,""),"")</f>
        <v/>
      </c>
      <c r="G462" s="113" t="str">
        <f>IFERROR(IF(12*INDEX(pers_other_inst_2021[Total '# hrs],A462)/INDEX(pers_other_inst_2021[Months],A462)&gt;pers_other_nrhours_year,checks!$A$156,""),"")</f>
        <v/>
      </c>
      <c r="H462" t="e">
        <f>IF(AND(organisation_type="yes",INDEX(pers_other_inst_2021[Amount],A358,1)&lt;&gt;"",ISBLANK(INDEX(pers_other_inst_2021[Organisation type],A358,1))),$B$146,"")</f>
        <v>#REF!</v>
      </c>
      <c r="I462" t="e">
        <f>IF(AND(organisation_name="yes",INDEX(pers_other_inst_2021[Amount],A462,1)&lt;&gt;"",ISBLANK(INDEX(pers_other_inst_2021[Name organisation],A462,1))),$B$147,"")</f>
        <v>#REF!</v>
      </c>
    </row>
    <row r="463" spans="1:9" hidden="1" outlineLevel="1" x14ac:dyDescent="0.35">
      <c r="A463" s="113">
        <v>48</v>
      </c>
      <c r="B463" s="113" t="str">
        <f t="array" ref="B463">IFERROR(INDEX(personnel_other_inst_21[[#This Row],[Empty lines]:[Name organisation]],1,MATCH(TRUE,LEN(personnel_other_inst_21[[#This Row],[Empty lines]:[Name organisation]])&gt;0,0)),"")</f>
        <v/>
      </c>
      <c r="C463" s="113" t="str">
        <f>IFERROR(IF(AND(LEN(INDEX(pers_other_inst_2021[Description],A463))+LEN(INDEX(pers_other_inst_2021[Scale],A463))+LEN(INDEX(pers_other_inst_2021[Hourly rate],A463))+LEN(INDEX(pers_other_inst_2021[Total '# hrs],A463))+LEN(INDEX(pers_other_inst_2021[Months],A463))&gt;0,LEN(INDEX(pers_other_inst_2021[Description],A463-1))++LEN(INDEX(pers_other_inst_2021[Scale],A463-1))+LEN(INDEX(pers_other_inst_2021[Hourly rate],A463-1))+LEN(INDEX(pers_other_inst_2021[Total '# hrs],A463-1))+LEN(INDEX(pers_other_inst_2021[Months],A463-1))=0),$B$127,""),"")</f>
        <v/>
      </c>
      <c r="D463" s="113" t="str">
        <f>IFERROR(IF(AND(INDEX(pers_other_inst_2021[Description],A463)="",OR(INDEX(pers_other_inst_2021[Total '# hrs],A463)&gt;0,INDEX(pers_other_inst_2021[Months],A463)&gt;0,INDEX(pers_other_inst_2021[Hourly rate],A463)&gt;0)),$B$154,""),"")</f>
        <v/>
      </c>
      <c r="E463" s="113" t="e">
        <f>SUBSTITUTE(IF(INDEX(pers_other_inst_2021[Hourly rate],A463)&gt;IFERROR(INDEX(salaries_other_inst[Max hourly rate],MATCH(INDEX(pers_other_inst_2021[Scale],A463),salaries_other_inst[category],0),1),""),$B$153,""),"&lt;&lt;max_hourly_rate&gt;&gt;",TEXT(IFERROR(INDEX(salaries_other_inst[Max hourly rate],MATCH(INDEX(pers_other_inst_2021[Scale],A463),salaries_other_inst[category],0),1),""),"€ #"))</f>
        <v>#REF!</v>
      </c>
      <c r="F463" s="113" t="str">
        <f>IFERROR(IF(AND(INDEX(pers_other_inst_2021[Amount],A463)&lt;&gt;"",INDEX(pers_other_inst_2021[Months],A463)=0),$B$155,""),"")</f>
        <v/>
      </c>
      <c r="G463" s="113" t="str">
        <f>IFERROR(IF(12*INDEX(pers_other_inst_2021[Total '# hrs],A463)/INDEX(pers_other_inst_2021[Months],A463)&gt;pers_other_nrhours_year,checks!$A$156,""),"")</f>
        <v/>
      </c>
      <c r="H463" t="e">
        <f>IF(AND(organisation_type="yes",INDEX(pers_other_inst_2021[Amount],A359,1)&lt;&gt;"",ISBLANK(INDEX(pers_other_inst_2021[Organisation type],A359,1))),$B$146,"")</f>
        <v>#REF!</v>
      </c>
      <c r="I463" t="e">
        <f>IF(AND(organisation_name="yes",INDEX(pers_other_inst_2021[Amount],A463,1)&lt;&gt;"",ISBLANK(INDEX(pers_other_inst_2021[Name organisation],A463,1))),$B$147,"")</f>
        <v>#REF!</v>
      </c>
    </row>
    <row r="464" spans="1:9" hidden="1" outlineLevel="1" x14ac:dyDescent="0.35">
      <c r="A464" s="113">
        <v>49</v>
      </c>
      <c r="B464" s="113" t="str">
        <f t="array" ref="B464">IFERROR(INDEX(personnel_other_inst_21[[#This Row],[Empty lines]:[Name organisation]],1,MATCH(TRUE,LEN(personnel_other_inst_21[[#This Row],[Empty lines]:[Name organisation]])&gt;0,0)),"")</f>
        <v/>
      </c>
      <c r="C464" s="113" t="str">
        <f>IFERROR(IF(AND(LEN(INDEX(pers_other_inst_2021[Description],A464))+LEN(INDEX(pers_other_inst_2021[Scale],A464))+LEN(INDEX(pers_other_inst_2021[Hourly rate],A464))+LEN(INDEX(pers_other_inst_2021[Total '# hrs],A464))+LEN(INDEX(pers_other_inst_2021[Months],A464))&gt;0,LEN(INDEX(pers_other_inst_2021[Description],A464-1))++LEN(INDEX(pers_other_inst_2021[Scale],A464-1))+LEN(INDEX(pers_other_inst_2021[Hourly rate],A464-1))+LEN(INDEX(pers_other_inst_2021[Total '# hrs],A464-1))+LEN(INDEX(pers_other_inst_2021[Months],A464-1))=0),$B$127,""),"")</f>
        <v/>
      </c>
      <c r="D464" s="113" t="str">
        <f>IFERROR(IF(AND(INDEX(pers_other_inst_2021[Description],A464)="",OR(INDEX(pers_other_inst_2021[Total '# hrs],A464)&gt;0,INDEX(pers_other_inst_2021[Months],A464)&gt;0,INDEX(pers_other_inst_2021[Hourly rate],A464)&gt;0)),$B$154,""),"")</f>
        <v/>
      </c>
      <c r="E464" s="113" t="e">
        <f>SUBSTITUTE(IF(INDEX(pers_other_inst_2021[Hourly rate],A464)&gt;IFERROR(INDEX(salaries_other_inst[Max hourly rate],MATCH(INDEX(pers_other_inst_2021[Scale],A464),salaries_other_inst[category],0),1),""),$B$153,""),"&lt;&lt;max_hourly_rate&gt;&gt;",TEXT(IFERROR(INDEX(salaries_other_inst[Max hourly rate],MATCH(INDEX(pers_other_inst_2021[Scale],A464),salaries_other_inst[category],0),1),""),"€ #"))</f>
        <v>#REF!</v>
      </c>
      <c r="F464" s="113" t="str">
        <f>IFERROR(IF(AND(INDEX(pers_other_inst_2021[Amount],A464)&lt;&gt;"",INDEX(pers_other_inst_2021[Months],A464)=0),$B$155,""),"")</f>
        <v/>
      </c>
      <c r="G464" s="113" t="str">
        <f>IFERROR(IF(12*INDEX(pers_other_inst_2021[Total '# hrs],A464)/INDEX(pers_other_inst_2021[Months],A464)&gt;pers_other_nrhours_year,checks!$A$156,""),"")</f>
        <v/>
      </c>
      <c r="H464" t="e">
        <f>IF(AND(organisation_type="yes",INDEX(pers_other_inst_2021[Amount],A360,1)&lt;&gt;"",ISBLANK(INDEX(pers_other_inst_2021[Organisation type],A360,1))),$B$146,"")</f>
        <v>#REF!</v>
      </c>
      <c r="I464" t="e">
        <f>IF(AND(organisation_name="yes",INDEX(pers_other_inst_2021[Amount],A464,1)&lt;&gt;"",ISBLANK(INDEX(pers_other_inst_2021[Name organisation],A464,1))),$B$147,"")</f>
        <v>#REF!</v>
      </c>
    </row>
    <row r="465" spans="1:9" hidden="1" outlineLevel="1" x14ac:dyDescent="0.35">
      <c r="A465" s="113">
        <v>50</v>
      </c>
      <c r="B465" s="113" t="str">
        <f t="array" ref="B465">IFERROR(INDEX(personnel_other_inst_21[[#This Row],[Empty lines]:[Name organisation]],1,MATCH(TRUE,LEN(personnel_other_inst_21[[#This Row],[Empty lines]:[Name organisation]])&gt;0,0)),"")</f>
        <v/>
      </c>
      <c r="C465" s="113" t="str">
        <f>IFERROR(IF(AND(LEN(INDEX(pers_other_inst_2021[Description],A465))+LEN(INDEX(pers_other_inst_2021[Scale],A465))+LEN(INDEX(pers_other_inst_2021[Hourly rate],A465))+LEN(INDEX(pers_other_inst_2021[Total '# hrs],A465))+LEN(INDEX(pers_other_inst_2021[Months],A465))&gt;0,LEN(INDEX(pers_other_inst_2021[Description],A465-1))++LEN(INDEX(pers_other_inst_2021[Scale],A465-1))+LEN(INDEX(pers_other_inst_2021[Hourly rate],A465-1))+LEN(INDEX(pers_other_inst_2021[Total '# hrs],A465-1))+LEN(INDEX(pers_other_inst_2021[Months],A465-1))=0),$B$127,""),"")</f>
        <v/>
      </c>
      <c r="D465" s="113" t="str">
        <f>IFERROR(IF(AND(INDEX(pers_other_inst_2021[Description],A465)="",OR(INDEX(pers_other_inst_2021[Total '# hrs],A465)&gt;0,INDEX(pers_other_inst_2021[Months],A465)&gt;0,INDEX(pers_other_inst_2021[Hourly rate],A465)&gt;0)),$B$154,""),"")</f>
        <v/>
      </c>
      <c r="E465" s="113" t="e">
        <f>SUBSTITUTE(IF(INDEX(pers_other_inst_2021[Hourly rate],A465)&gt;IFERROR(INDEX(salaries_other_inst[Max hourly rate],MATCH(INDEX(pers_other_inst_2021[Scale],A465),salaries_other_inst[category],0),1),""),$B$153,""),"&lt;&lt;max_hourly_rate&gt;&gt;",TEXT(IFERROR(INDEX(salaries_other_inst[Max hourly rate],MATCH(INDEX(pers_other_inst_2021[Scale],A465),salaries_other_inst[category],0),1),""),"€ #"))</f>
        <v>#REF!</v>
      </c>
      <c r="F465" s="113" t="str">
        <f>IFERROR(IF(AND(INDEX(pers_other_inst_2021[Amount],A465)&lt;&gt;"",INDEX(pers_other_inst_2021[Months],A465)=0),$B$155,""),"")</f>
        <v/>
      </c>
      <c r="G465" s="113" t="str">
        <f>IFERROR(IF(12*INDEX(pers_other_inst_2021[Total '# hrs],A465)/INDEX(pers_other_inst_2021[Months],A465)&gt;pers_other_nrhours_year,checks!$A$156,""),"")</f>
        <v/>
      </c>
      <c r="H465" t="e">
        <f>IF(AND(organisation_type="yes",INDEX(pers_other_inst_2021[Amount],A361,1)&lt;&gt;"",ISBLANK(INDEX(pers_other_inst_2021[Organisation type],A361,1))),$B$146,"")</f>
        <v>#REF!</v>
      </c>
      <c r="I465" t="e">
        <f>IF(AND(organisation_name="yes",INDEX(pers_other_inst_2021[Amount],A465,1)&lt;&gt;"",ISBLANK(INDEX(pers_other_inst_2021[Name organisation],A465,1))),$B$147,"")</f>
        <v>#REF!</v>
      </c>
    </row>
    <row r="466" spans="1:9" hidden="1" outlineLevel="1" x14ac:dyDescent="0.35">
      <c r="A466" s="113">
        <v>51</v>
      </c>
      <c r="B466" s="113" t="str">
        <f t="array" ref="B466">IFERROR(INDEX(personnel_other_inst_21[[#This Row],[Empty lines]:[Name organisation]],1,MATCH(TRUE,LEN(personnel_other_inst_21[[#This Row],[Empty lines]:[Name organisation]])&gt;0,0)),"")</f>
        <v/>
      </c>
      <c r="C466" s="113" t="str">
        <f>IFERROR(IF(AND(LEN(INDEX(pers_other_inst_2021[Description],A466))+LEN(INDEX(pers_other_inst_2021[Scale],A466))+LEN(INDEX(pers_other_inst_2021[Hourly rate],A466))+LEN(INDEX(pers_other_inst_2021[Total '# hrs],A466))+LEN(INDEX(pers_other_inst_2021[Months],A466))&gt;0,LEN(INDEX(pers_other_inst_2021[Description],A466-1))++LEN(INDEX(pers_other_inst_2021[Scale],A466-1))+LEN(INDEX(pers_other_inst_2021[Hourly rate],A466-1))+LEN(INDEX(pers_other_inst_2021[Total '# hrs],A466-1))+LEN(INDEX(pers_other_inst_2021[Months],A466-1))=0),$B$127,""),"")</f>
        <v/>
      </c>
      <c r="D466" s="113" t="str">
        <f>IFERROR(IF(AND(INDEX(pers_other_inst_2021[Description],A466)="",OR(INDEX(pers_other_inst_2021[Total '# hrs],A466)&gt;0,INDEX(pers_other_inst_2021[Months],A466)&gt;0,INDEX(pers_other_inst_2021[Hourly rate],A466)&gt;0)),$B$154,""),"")</f>
        <v/>
      </c>
      <c r="E466" s="113" t="e">
        <f>SUBSTITUTE(IF(INDEX(pers_other_inst_2021[Hourly rate],A466)&gt;IFERROR(INDEX(salaries_other_inst[Max hourly rate],MATCH(INDEX(pers_other_inst_2021[Scale],A466),salaries_other_inst[category],0),1),""),$B$153,""),"&lt;&lt;max_hourly_rate&gt;&gt;",TEXT(IFERROR(INDEX(salaries_other_inst[Max hourly rate],MATCH(INDEX(pers_other_inst_2021[Scale],A466),salaries_other_inst[category],0),1),""),"€ #"))</f>
        <v>#REF!</v>
      </c>
      <c r="F466" s="113" t="str">
        <f>IFERROR(IF(AND(INDEX(pers_other_inst_2021[Amount],A466)&lt;&gt;"",INDEX(pers_other_inst_2021[Months],A466)=0),$B$155,""),"")</f>
        <v/>
      </c>
      <c r="G466" s="113" t="str">
        <f>IFERROR(IF(12*INDEX(pers_other_inst_2021[Total '# hrs],A466)/INDEX(pers_other_inst_2021[Months],A466)&gt;pers_other_nrhours_year,checks!$A$156,""),"")</f>
        <v/>
      </c>
      <c r="H466" t="e">
        <f>IF(AND(organisation_type="yes",INDEX(pers_other_inst_2021[Amount],A362,1)&lt;&gt;"",ISBLANK(INDEX(pers_other_inst_2021[Organisation type],A362,1))),$B$146,"")</f>
        <v>#REF!</v>
      </c>
      <c r="I466" t="e">
        <f>IF(AND(organisation_name="yes",INDEX(pers_other_inst_2021[Amount],A466,1)&lt;&gt;"",ISBLANK(INDEX(pers_other_inst_2021[Name organisation],A466,1))),$B$147,"")</f>
        <v>#REF!</v>
      </c>
    </row>
    <row r="467" spans="1:9" hidden="1" outlineLevel="1" x14ac:dyDescent="0.35">
      <c r="A467" s="113">
        <v>52</v>
      </c>
      <c r="B467" s="113" t="str">
        <f t="array" ref="B467">IFERROR(INDEX(personnel_other_inst_21[[#This Row],[Empty lines]:[Name organisation]],1,MATCH(TRUE,LEN(personnel_other_inst_21[[#This Row],[Empty lines]:[Name organisation]])&gt;0,0)),"")</f>
        <v/>
      </c>
      <c r="C467" s="113" t="str">
        <f>IFERROR(IF(AND(LEN(INDEX(pers_other_inst_2021[Description],A467))+LEN(INDEX(pers_other_inst_2021[Scale],A467))+LEN(INDEX(pers_other_inst_2021[Hourly rate],A467))+LEN(INDEX(pers_other_inst_2021[Total '# hrs],A467))+LEN(INDEX(pers_other_inst_2021[Months],A467))&gt;0,LEN(INDEX(pers_other_inst_2021[Description],A467-1))++LEN(INDEX(pers_other_inst_2021[Scale],A467-1))+LEN(INDEX(pers_other_inst_2021[Hourly rate],A467-1))+LEN(INDEX(pers_other_inst_2021[Total '# hrs],A467-1))+LEN(INDEX(pers_other_inst_2021[Months],A467-1))=0),$B$127,""),"")</f>
        <v/>
      </c>
      <c r="D467" s="113" t="str">
        <f>IFERROR(IF(AND(INDEX(pers_other_inst_2021[Description],A467)="",OR(INDEX(pers_other_inst_2021[Total '# hrs],A467)&gt;0,INDEX(pers_other_inst_2021[Months],A467)&gt;0,INDEX(pers_other_inst_2021[Hourly rate],A467)&gt;0)),$B$154,""),"")</f>
        <v/>
      </c>
      <c r="E467" s="113" t="e">
        <f>SUBSTITUTE(IF(INDEX(pers_other_inst_2021[Hourly rate],A467)&gt;IFERROR(INDEX(salaries_other_inst[Max hourly rate],MATCH(INDEX(pers_other_inst_2021[Scale],A467),salaries_other_inst[category],0),1),""),$B$153,""),"&lt;&lt;max_hourly_rate&gt;&gt;",TEXT(IFERROR(INDEX(salaries_other_inst[Max hourly rate],MATCH(INDEX(pers_other_inst_2021[Scale],A467),salaries_other_inst[category],0),1),""),"€ #"))</f>
        <v>#REF!</v>
      </c>
      <c r="F467" s="113" t="str">
        <f>IFERROR(IF(AND(INDEX(pers_other_inst_2021[Amount],A467)&lt;&gt;"",INDEX(pers_other_inst_2021[Months],A467)=0),$B$155,""),"")</f>
        <v/>
      </c>
      <c r="G467" s="113" t="str">
        <f>IFERROR(IF(12*INDEX(pers_other_inst_2021[Total '# hrs],A467)/INDEX(pers_other_inst_2021[Months],A467)&gt;pers_other_nrhours_year,checks!$A$156,""),"")</f>
        <v/>
      </c>
      <c r="H467" t="e">
        <f>IF(AND(organisation_type="yes",INDEX(pers_other_inst_2021[Amount],A363,1)&lt;&gt;"",ISBLANK(INDEX(pers_other_inst_2021[Organisation type],A363,1))),$B$146,"")</f>
        <v>#REF!</v>
      </c>
      <c r="I467" t="e">
        <f>IF(AND(organisation_name="yes",INDEX(pers_other_inst_2021[Amount],A467,1)&lt;&gt;"",ISBLANK(INDEX(pers_other_inst_2021[Name organisation],A467,1))),$B$147,"")</f>
        <v>#REF!</v>
      </c>
    </row>
    <row r="468" spans="1:9" hidden="1" outlineLevel="1" x14ac:dyDescent="0.35">
      <c r="A468" s="113">
        <v>53</v>
      </c>
      <c r="B468" s="113" t="str">
        <f t="array" ref="B468">IFERROR(INDEX(personnel_other_inst_21[[#This Row],[Empty lines]:[Name organisation]],1,MATCH(TRUE,LEN(personnel_other_inst_21[[#This Row],[Empty lines]:[Name organisation]])&gt;0,0)),"")</f>
        <v/>
      </c>
      <c r="C468" s="113" t="str">
        <f>IFERROR(IF(AND(LEN(INDEX(pers_other_inst_2021[Description],A468))+LEN(INDEX(pers_other_inst_2021[Scale],A468))+LEN(INDEX(pers_other_inst_2021[Hourly rate],A468))+LEN(INDEX(pers_other_inst_2021[Total '# hrs],A468))+LEN(INDEX(pers_other_inst_2021[Months],A468))&gt;0,LEN(INDEX(pers_other_inst_2021[Description],A468-1))++LEN(INDEX(pers_other_inst_2021[Scale],A468-1))+LEN(INDEX(pers_other_inst_2021[Hourly rate],A468-1))+LEN(INDEX(pers_other_inst_2021[Total '# hrs],A468-1))+LEN(INDEX(pers_other_inst_2021[Months],A468-1))=0),$B$127,""),"")</f>
        <v/>
      </c>
      <c r="D468" s="113" t="str">
        <f>IFERROR(IF(AND(INDEX(pers_other_inst_2021[Description],A468)="",OR(INDEX(pers_other_inst_2021[Total '# hrs],A468)&gt;0,INDEX(pers_other_inst_2021[Months],A468)&gt;0,INDEX(pers_other_inst_2021[Hourly rate],A468)&gt;0)),$B$154,""),"")</f>
        <v/>
      </c>
      <c r="E468" s="113" t="e">
        <f>SUBSTITUTE(IF(INDEX(pers_other_inst_2021[Hourly rate],A468)&gt;IFERROR(INDEX(salaries_other_inst[Max hourly rate],MATCH(INDEX(pers_other_inst_2021[Scale],A468),salaries_other_inst[category],0),1),""),$B$153,""),"&lt;&lt;max_hourly_rate&gt;&gt;",TEXT(IFERROR(INDEX(salaries_other_inst[Max hourly rate],MATCH(INDEX(pers_other_inst_2021[Scale],A468),salaries_other_inst[category],0),1),""),"€ #"))</f>
        <v>#REF!</v>
      </c>
      <c r="F468" s="113" t="str">
        <f>IFERROR(IF(AND(INDEX(pers_other_inst_2021[Amount],A468)&lt;&gt;"",INDEX(pers_other_inst_2021[Months],A468)=0),$B$155,""),"")</f>
        <v/>
      </c>
      <c r="G468" s="113" t="str">
        <f>IFERROR(IF(12*INDEX(pers_other_inst_2021[Total '# hrs],A468)/INDEX(pers_other_inst_2021[Months],A468)&gt;pers_other_nrhours_year,checks!$A$156,""),"")</f>
        <v/>
      </c>
      <c r="H468" t="e">
        <f>IF(AND(organisation_type="yes",INDEX(pers_other_inst_2021[Amount],A364,1)&lt;&gt;"",ISBLANK(INDEX(pers_other_inst_2021[Organisation type],A364,1))),$B$146,"")</f>
        <v>#REF!</v>
      </c>
      <c r="I468" t="e">
        <f>IF(AND(organisation_name="yes",INDEX(pers_other_inst_2021[Amount],A468,1)&lt;&gt;"",ISBLANK(INDEX(pers_other_inst_2021[Name organisation],A468,1))),$B$147,"")</f>
        <v>#REF!</v>
      </c>
    </row>
    <row r="469" spans="1:9" hidden="1" outlineLevel="1" x14ac:dyDescent="0.35">
      <c r="A469" s="113">
        <v>54</v>
      </c>
      <c r="B469" s="113" t="str">
        <f t="array" ref="B469">IFERROR(INDEX(personnel_other_inst_21[[#This Row],[Empty lines]:[Name organisation]],1,MATCH(TRUE,LEN(personnel_other_inst_21[[#This Row],[Empty lines]:[Name organisation]])&gt;0,0)),"")</f>
        <v/>
      </c>
      <c r="C469" s="113" t="str">
        <f>IFERROR(IF(AND(LEN(INDEX(pers_other_inst_2021[Description],A469))+LEN(INDEX(pers_other_inst_2021[Scale],A469))+LEN(INDEX(pers_other_inst_2021[Hourly rate],A469))+LEN(INDEX(pers_other_inst_2021[Total '# hrs],A469))+LEN(INDEX(pers_other_inst_2021[Months],A469))&gt;0,LEN(INDEX(pers_other_inst_2021[Description],A469-1))++LEN(INDEX(pers_other_inst_2021[Scale],A469-1))+LEN(INDEX(pers_other_inst_2021[Hourly rate],A469-1))+LEN(INDEX(pers_other_inst_2021[Total '# hrs],A469-1))+LEN(INDEX(pers_other_inst_2021[Months],A469-1))=0),$B$127,""),"")</f>
        <v/>
      </c>
      <c r="D469" s="113" t="str">
        <f>IFERROR(IF(AND(INDEX(pers_other_inst_2021[Description],A469)="",OR(INDEX(pers_other_inst_2021[Total '# hrs],A469)&gt;0,INDEX(pers_other_inst_2021[Months],A469)&gt;0,INDEX(pers_other_inst_2021[Hourly rate],A469)&gt;0)),$B$154,""),"")</f>
        <v/>
      </c>
      <c r="E469" s="113" t="e">
        <f>SUBSTITUTE(IF(INDEX(pers_other_inst_2021[Hourly rate],A469)&gt;IFERROR(INDEX(salaries_other_inst[Max hourly rate],MATCH(INDEX(pers_other_inst_2021[Scale],A469),salaries_other_inst[category],0),1),""),$B$153,""),"&lt;&lt;max_hourly_rate&gt;&gt;",TEXT(IFERROR(INDEX(salaries_other_inst[Max hourly rate],MATCH(INDEX(pers_other_inst_2021[Scale],A469),salaries_other_inst[category],0),1),""),"€ #"))</f>
        <v>#REF!</v>
      </c>
      <c r="F469" s="113" t="str">
        <f>IFERROR(IF(AND(INDEX(pers_other_inst_2021[Amount],A469)&lt;&gt;"",INDEX(pers_other_inst_2021[Months],A469)=0),$B$155,""),"")</f>
        <v/>
      </c>
      <c r="G469" s="113" t="str">
        <f>IFERROR(IF(12*INDEX(pers_other_inst_2021[Total '# hrs],A469)/INDEX(pers_other_inst_2021[Months],A469)&gt;pers_other_nrhours_year,checks!$A$156,""),"")</f>
        <v/>
      </c>
      <c r="H469" t="e">
        <f>IF(AND(organisation_type="yes",INDEX(pers_other_inst_2021[Amount],A365,1)&lt;&gt;"",ISBLANK(INDEX(pers_other_inst_2021[Organisation type],A365,1))),$B$146,"")</f>
        <v>#REF!</v>
      </c>
      <c r="I469" t="e">
        <f>IF(AND(organisation_name="yes",INDEX(pers_other_inst_2021[Amount],A469,1)&lt;&gt;"",ISBLANK(INDEX(pers_other_inst_2021[Name organisation],A469,1))),$B$147,"")</f>
        <v>#REF!</v>
      </c>
    </row>
    <row r="470" spans="1:9" hidden="1" outlineLevel="1" x14ac:dyDescent="0.35">
      <c r="A470" s="113">
        <v>55</v>
      </c>
      <c r="B470" s="113" t="str">
        <f t="array" ref="B470">IFERROR(INDEX(personnel_other_inst_21[[#This Row],[Empty lines]:[Name organisation]],1,MATCH(TRUE,LEN(personnel_other_inst_21[[#This Row],[Empty lines]:[Name organisation]])&gt;0,0)),"")</f>
        <v/>
      </c>
      <c r="C470" s="113" t="str">
        <f>IFERROR(IF(AND(LEN(INDEX(pers_other_inst_2021[Description],A470))+LEN(INDEX(pers_other_inst_2021[Scale],A470))+LEN(INDEX(pers_other_inst_2021[Hourly rate],A470))+LEN(INDEX(pers_other_inst_2021[Total '# hrs],A470))+LEN(INDEX(pers_other_inst_2021[Months],A470))&gt;0,LEN(INDEX(pers_other_inst_2021[Description],A470-1))++LEN(INDEX(pers_other_inst_2021[Scale],A470-1))+LEN(INDEX(pers_other_inst_2021[Hourly rate],A470-1))+LEN(INDEX(pers_other_inst_2021[Total '# hrs],A470-1))+LEN(INDEX(pers_other_inst_2021[Months],A470-1))=0),$B$127,""),"")</f>
        <v/>
      </c>
      <c r="D470" s="113" t="str">
        <f>IFERROR(IF(AND(INDEX(pers_other_inst_2021[Description],A470)="",OR(INDEX(pers_other_inst_2021[Total '# hrs],A470)&gt;0,INDEX(pers_other_inst_2021[Months],A470)&gt;0,INDEX(pers_other_inst_2021[Hourly rate],A470)&gt;0)),$B$154,""),"")</f>
        <v/>
      </c>
      <c r="E470" s="113" t="e">
        <f>SUBSTITUTE(IF(INDEX(pers_other_inst_2021[Hourly rate],A470)&gt;IFERROR(INDEX(salaries_other_inst[Max hourly rate],MATCH(INDEX(pers_other_inst_2021[Scale],A470),salaries_other_inst[category],0),1),""),$B$153,""),"&lt;&lt;max_hourly_rate&gt;&gt;",TEXT(IFERROR(INDEX(salaries_other_inst[Max hourly rate],MATCH(INDEX(pers_other_inst_2021[Scale],A470),salaries_other_inst[category],0),1),""),"€ #"))</f>
        <v>#REF!</v>
      </c>
      <c r="F470" s="113" t="str">
        <f>IFERROR(IF(AND(INDEX(pers_other_inst_2021[Amount],A470)&lt;&gt;"",INDEX(pers_other_inst_2021[Months],A470)=0),$B$155,""),"")</f>
        <v/>
      </c>
      <c r="G470" s="113" t="str">
        <f>IFERROR(IF(12*INDEX(pers_other_inst_2021[Total '# hrs],A470)/INDEX(pers_other_inst_2021[Months],A470)&gt;pers_other_nrhours_year,checks!$A$156,""),"")</f>
        <v/>
      </c>
      <c r="H470" t="e">
        <f>IF(AND(organisation_type="yes",INDEX(pers_other_inst_2021[Amount],A366,1)&lt;&gt;"",ISBLANK(INDEX(pers_other_inst_2021[Organisation type],A366,1))),$B$146,"")</f>
        <v>#REF!</v>
      </c>
      <c r="I470" t="e">
        <f>IF(AND(organisation_name="yes",INDEX(pers_other_inst_2021[Amount],A470,1)&lt;&gt;"",ISBLANK(INDEX(pers_other_inst_2021[Name organisation],A470,1))),$B$147,"")</f>
        <v>#REF!</v>
      </c>
    </row>
    <row r="471" spans="1:9" hidden="1" outlineLevel="1" x14ac:dyDescent="0.35">
      <c r="A471" s="113">
        <v>56</v>
      </c>
      <c r="B471" s="113" t="str">
        <f t="array" ref="B471">IFERROR(INDEX(personnel_other_inst_21[[#This Row],[Empty lines]:[Name organisation]],1,MATCH(TRUE,LEN(personnel_other_inst_21[[#This Row],[Empty lines]:[Name organisation]])&gt;0,0)),"")</f>
        <v/>
      </c>
      <c r="C471" s="113" t="str">
        <f>IFERROR(IF(AND(LEN(INDEX(pers_other_inst_2021[Description],A471))+LEN(INDEX(pers_other_inst_2021[Scale],A471))+LEN(INDEX(pers_other_inst_2021[Hourly rate],A471))+LEN(INDEX(pers_other_inst_2021[Total '# hrs],A471))+LEN(INDEX(pers_other_inst_2021[Months],A471))&gt;0,LEN(INDEX(pers_other_inst_2021[Description],A471-1))++LEN(INDEX(pers_other_inst_2021[Scale],A471-1))+LEN(INDEX(pers_other_inst_2021[Hourly rate],A471-1))+LEN(INDEX(pers_other_inst_2021[Total '# hrs],A471-1))+LEN(INDEX(pers_other_inst_2021[Months],A471-1))=0),$B$127,""),"")</f>
        <v/>
      </c>
      <c r="D471" s="113" t="str">
        <f>IFERROR(IF(AND(INDEX(pers_other_inst_2021[Description],A471)="",OR(INDEX(pers_other_inst_2021[Total '# hrs],A471)&gt;0,INDEX(pers_other_inst_2021[Months],A471)&gt;0,INDEX(pers_other_inst_2021[Hourly rate],A471)&gt;0)),$B$154,""),"")</f>
        <v/>
      </c>
      <c r="E471" s="113" t="e">
        <f>SUBSTITUTE(IF(INDEX(pers_other_inst_2021[Hourly rate],A471)&gt;IFERROR(INDEX(salaries_other_inst[Max hourly rate],MATCH(INDEX(pers_other_inst_2021[Scale],A471),salaries_other_inst[category],0),1),""),$B$153,""),"&lt;&lt;max_hourly_rate&gt;&gt;",TEXT(IFERROR(INDEX(salaries_other_inst[Max hourly rate],MATCH(INDEX(pers_other_inst_2021[Scale],A471),salaries_other_inst[category],0),1),""),"€ #"))</f>
        <v>#REF!</v>
      </c>
      <c r="F471" s="113" t="str">
        <f>IFERROR(IF(AND(INDEX(pers_other_inst_2021[Amount],A471)&lt;&gt;"",INDEX(pers_other_inst_2021[Months],A471)=0),$B$155,""),"")</f>
        <v/>
      </c>
      <c r="G471" s="113" t="str">
        <f>IFERROR(IF(12*INDEX(pers_other_inst_2021[Total '# hrs],A471)/INDEX(pers_other_inst_2021[Months],A471)&gt;pers_other_nrhours_year,checks!$A$156,""),"")</f>
        <v/>
      </c>
      <c r="H471" t="e">
        <f>IF(AND(organisation_type="yes",INDEX(pers_other_inst_2021[Amount],A367,1)&lt;&gt;"",ISBLANK(INDEX(pers_other_inst_2021[Organisation type],A367,1))),$B$146,"")</f>
        <v>#REF!</v>
      </c>
      <c r="I471" t="e">
        <f>IF(AND(organisation_name="yes",INDEX(pers_other_inst_2021[Amount],A471,1)&lt;&gt;"",ISBLANK(INDEX(pers_other_inst_2021[Name organisation],A471,1))),$B$147,"")</f>
        <v>#REF!</v>
      </c>
    </row>
    <row r="472" spans="1:9" hidden="1" outlineLevel="1" x14ac:dyDescent="0.35">
      <c r="A472" s="113">
        <v>57</v>
      </c>
      <c r="B472" s="113" t="str">
        <f t="array" ref="B472">IFERROR(INDEX(personnel_other_inst_21[[#This Row],[Empty lines]:[Name organisation]],1,MATCH(TRUE,LEN(personnel_other_inst_21[[#This Row],[Empty lines]:[Name organisation]])&gt;0,0)),"")</f>
        <v/>
      </c>
      <c r="C472" s="113" t="str">
        <f>IFERROR(IF(AND(LEN(INDEX(pers_other_inst_2021[Description],A472))+LEN(INDEX(pers_other_inst_2021[Scale],A472))+LEN(INDEX(pers_other_inst_2021[Hourly rate],A472))+LEN(INDEX(pers_other_inst_2021[Total '# hrs],A472))+LEN(INDEX(pers_other_inst_2021[Months],A472))&gt;0,LEN(INDEX(pers_other_inst_2021[Description],A472-1))++LEN(INDEX(pers_other_inst_2021[Scale],A472-1))+LEN(INDEX(pers_other_inst_2021[Hourly rate],A472-1))+LEN(INDEX(pers_other_inst_2021[Total '# hrs],A472-1))+LEN(INDEX(pers_other_inst_2021[Months],A472-1))=0),$B$127,""),"")</f>
        <v/>
      </c>
      <c r="D472" s="113" t="str">
        <f>IFERROR(IF(AND(INDEX(pers_other_inst_2021[Description],A472)="",OR(INDEX(pers_other_inst_2021[Total '# hrs],A472)&gt;0,INDEX(pers_other_inst_2021[Months],A472)&gt;0,INDEX(pers_other_inst_2021[Hourly rate],A472)&gt;0)),$B$154,""),"")</f>
        <v/>
      </c>
      <c r="E472" s="113" t="e">
        <f>SUBSTITUTE(IF(INDEX(pers_other_inst_2021[Hourly rate],A472)&gt;IFERROR(INDEX(salaries_other_inst[Max hourly rate],MATCH(INDEX(pers_other_inst_2021[Scale],A472),salaries_other_inst[category],0),1),""),$B$153,""),"&lt;&lt;max_hourly_rate&gt;&gt;",TEXT(IFERROR(INDEX(salaries_other_inst[Max hourly rate],MATCH(INDEX(pers_other_inst_2021[Scale],A472),salaries_other_inst[category],0),1),""),"€ #"))</f>
        <v>#REF!</v>
      </c>
      <c r="F472" s="113" t="str">
        <f>IFERROR(IF(AND(INDEX(pers_other_inst_2021[Amount],A472)&lt;&gt;"",INDEX(pers_other_inst_2021[Months],A472)=0),$B$155,""),"")</f>
        <v/>
      </c>
      <c r="G472" s="113" t="str">
        <f>IFERROR(IF(12*INDEX(pers_other_inst_2021[Total '# hrs],A472)/INDEX(pers_other_inst_2021[Months],A472)&gt;pers_other_nrhours_year,checks!$A$156,""),"")</f>
        <v/>
      </c>
      <c r="H472" t="e">
        <f>IF(AND(organisation_type="yes",INDEX(pers_other_inst_2021[Amount],A368,1)&lt;&gt;"",ISBLANK(INDEX(pers_other_inst_2021[Organisation type],A368,1))),$B$146,"")</f>
        <v>#REF!</v>
      </c>
      <c r="I472" t="e">
        <f>IF(AND(organisation_name="yes",INDEX(pers_other_inst_2021[Amount],A472,1)&lt;&gt;"",ISBLANK(INDEX(pers_other_inst_2021[Name organisation],A472,1))),$B$147,"")</f>
        <v>#REF!</v>
      </c>
    </row>
    <row r="473" spans="1:9" hidden="1" outlineLevel="1" x14ac:dyDescent="0.35">
      <c r="A473" s="113">
        <v>58</v>
      </c>
      <c r="B473" s="113" t="str">
        <f t="array" ref="B473">IFERROR(INDEX(personnel_other_inst_21[[#This Row],[Empty lines]:[Name organisation]],1,MATCH(TRUE,LEN(personnel_other_inst_21[[#This Row],[Empty lines]:[Name organisation]])&gt;0,0)),"")</f>
        <v/>
      </c>
      <c r="C473" s="113" t="str">
        <f>IFERROR(IF(AND(LEN(INDEX(pers_other_inst_2021[Description],A473))+LEN(INDEX(pers_other_inst_2021[Scale],A473))+LEN(INDEX(pers_other_inst_2021[Hourly rate],A473))+LEN(INDEX(pers_other_inst_2021[Total '# hrs],A473))+LEN(INDEX(pers_other_inst_2021[Months],A473))&gt;0,LEN(INDEX(pers_other_inst_2021[Description],A473-1))++LEN(INDEX(pers_other_inst_2021[Scale],A473-1))+LEN(INDEX(pers_other_inst_2021[Hourly rate],A473-1))+LEN(INDEX(pers_other_inst_2021[Total '# hrs],A473-1))+LEN(INDEX(pers_other_inst_2021[Months],A473-1))=0),$B$127,""),"")</f>
        <v/>
      </c>
      <c r="D473" s="113" t="str">
        <f>IFERROR(IF(AND(INDEX(pers_other_inst_2021[Description],A473)="",OR(INDEX(pers_other_inst_2021[Total '# hrs],A473)&gt;0,INDEX(pers_other_inst_2021[Months],A473)&gt;0,INDEX(pers_other_inst_2021[Hourly rate],A473)&gt;0)),$B$154,""),"")</f>
        <v/>
      </c>
      <c r="E473" s="113" t="e">
        <f>SUBSTITUTE(IF(INDEX(pers_other_inst_2021[Hourly rate],A473)&gt;IFERROR(INDEX(salaries_other_inst[Max hourly rate],MATCH(INDEX(pers_other_inst_2021[Scale],A473),salaries_other_inst[category],0),1),""),$B$153,""),"&lt;&lt;max_hourly_rate&gt;&gt;",TEXT(IFERROR(INDEX(salaries_other_inst[Max hourly rate],MATCH(INDEX(pers_other_inst_2021[Scale],A473),salaries_other_inst[category],0),1),""),"€ #"))</f>
        <v>#REF!</v>
      </c>
      <c r="F473" s="113" t="str">
        <f>IFERROR(IF(AND(INDEX(pers_other_inst_2021[Amount],A473)&lt;&gt;"",INDEX(pers_other_inst_2021[Months],A473)=0),$B$155,""),"")</f>
        <v/>
      </c>
      <c r="G473" s="113" t="str">
        <f>IFERROR(IF(12*INDEX(pers_other_inst_2021[Total '# hrs],A473)/INDEX(pers_other_inst_2021[Months],A473)&gt;pers_other_nrhours_year,checks!$A$156,""),"")</f>
        <v/>
      </c>
      <c r="H473" t="e">
        <f>IF(AND(organisation_type="yes",INDEX(pers_other_inst_2021[Amount],A369,1)&lt;&gt;"",ISBLANK(INDEX(pers_other_inst_2021[Organisation type],A369,1))),$B$146,"")</f>
        <v>#REF!</v>
      </c>
      <c r="I473" t="e">
        <f>IF(AND(organisation_name="yes",INDEX(pers_other_inst_2021[Amount],A473,1)&lt;&gt;"",ISBLANK(INDEX(pers_other_inst_2021[Name organisation],A473,1))),$B$147,"")</f>
        <v>#REF!</v>
      </c>
    </row>
    <row r="474" spans="1:9" hidden="1" outlineLevel="1" x14ac:dyDescent="0.35">
      <c r="A474" s="113">
        <v>59</v>
      </c>
      <c r="B474" s="113" t="str">
        <f t="array" ref="B474">IFERROR(INDEX(personnel_other_inst_21[[#This Row],[Empty lines]:[Name organisation]],1,MATCH(TRUE,LEN(personnel_other_inst_21[[#This Row],[Empty lines]:[Name organisation]])&gt;0,0)),"")</f>
        <v/>
      </c>
      <c r="C474" s="113" t="str">
        <f>IFERROR(IF(AND(LEN(INDEX(pers_other_inst_2021[Description],A474))+LEN(INDEX(pers_other_inst_2021[Scale],A474))+LEN(INDEX(pers_other_inst_2021[Hourly rate],A474))+LEN(INDEX(pers_other_inst_2021[Total '# hrs],A474))+LEN(INDEX(pers_other_inst_2021[Months],A474))&gt;0,LEN(INDEX(pers_other_inst_2021[Description],A474-1))++LEN(INDEX(pers_other_inst_2021[Scale],A474-1))+LEN(INDEX(pers_other_inst_2021[Hourly rate],A474-1))+LEN(INDEX(pers_other_inst_2021[Total '# hrs],A474-1))+LEN(INDEX(pers_other_inst_2021[Months],A474-1))=0),$B$127,""),"")</f>
        <v/>
      </c>
      <c r="D474" s="113" t="str">
        <f>IFERROR(IF(AND(INDEX(pers_other_inst_2021[Description],A474)="",OR(INDEX(pers_other_inst_2021[Total '# hrs],A474)&gt;0,INDEX(pers_other_inst_2021[Months],A474)&gt;0,INDEX(pers_other_inst_2021[Hourly rate],A474)&gt;0)),$B$154,""),"")</f>
        <v/>
      </c>
      <c r="E474" s="113" t="e">
        <f>SUBSTITUTE(IF(INDEX(pers_other_inst_2021[Hourly rate],A474)&gt;IFERROR(INDEX(salaries_other_inst[Max hourly rate],MATCH(INDEX(pers_other_inst_2021[Scale],A474),salaries_other_inst[category],0),1),""),$B$153,""),"&lt;&lt;max_hourly_rate&gt;&gt;",TEXT(IFERROR(INDEX(salaries_other_inst[Max hourly rate],MATCH(INDEX(pers_other_inst_2021[Scale],A474),salaries_other_inst[category],0),1),""),"€ #"))</f>
        <v>#REF!</v>
      </c>
      <c r="F474" s="113" t="str">
        <f>IFERROR(IF(AND(INDEX(pers_other_inst_2021[Amount],A474)&lt;&gt;"",INDEX(pers_other_inst_2021[Months],A474)=0),$B$155,""),"")</f>
        <v/>
      </c>
      <c r="G474" s="113" t="str">
        <f>IFERROR(IF(12*INDEX(pers_other_inst_2021[Total '# hrs],A474)/INDEX(pers_other_inst_2021[Months],A474)&gt;pers_other_nrhours_year,checks!$A$156,""),"")</f>
        <v/>
      </c>
      <c r="H474" t="e">
        <f>IF(AND(organisation_type="yes",INDEX(pers_other_inst_2021[Amount],A370,1)&lt;&gt;"",ISBLANK(INDEX(pers_other_inst_2021[Organisation type],A370,1))),$B$146,"")</f>
        <v>#REF!</v>
      </c>
      <c r="I474" t="e">
        <f>IF(AND(organisation_name="yes",INDEX(pers_other_inst_2021[Amount],A474,1)&lt;&gt;"",ISBLANK(INDEX(pers_other_inst_2021[Name organisation],A474,1))),$B$147,"")</f>
        <v>#REF!</v>
      </c>
    </row>
    <row r="475" spans="1:9" hidden="1" outlineLevel="1" x14ac:dyDescent="0.35">
      <c r="A475" s="113">
        <v>60</v>
      </c>
      <c r="B475" s="113" t="str">
        <f t="array" ref="B475">IFERROR(INDEX(personnel_other_inst_21[[#This Row],[Empty lines]:[Name organisation]],1,MATCH(TRUE,LEN(personnel_other_inst_21[[#This Row],[Empty lines]:[Name organisation]])&gt;0,0)),"")</f>
        <v/>
      </c>
      <c r="C475" s="113" t="str">
        <f>IFERROR(IF(AND(LEN(INDEX(pers_other_inst_2021[Description],A475))+LEN(INDEX(pers_other_inst_2021[Scale],A475))+LEN(INDEX(pers_other_inst_2021[Hourly rate],A475))+LEN(INDEX(pers_other_inst_2021[Total '# hrs],A475))+LEN(INDEX(pers_other_inst_2021[Months],A475))&gt;0,LEN(INDEX(pers_other_inst_2021[Description],A475-1))++LEN(INDEX(pers_other_inst_2021[Scale],A475-1))+LEN(INDEX(pers_other_inst_2021[Hourly rate],A475-1))+LEN(INDEX(pers_other_inst_2021[Total '# hrs],A475-1))+LEN(INDEX(pers_other_inst_2021[Months],A475-1))=0),$B$127,""),"")</f>
        <v/>
      </c>
      <c r="D475" s="113" t="str">
        <f>IFERROR(IF(AND(INDEX(pers_other_inst_2021[Description],A475)="",OR(INDEX(pers_other_inst_2021[Total '# hrs],A475)&gt;0,INDEX(pers_other_inst_2021[Months],A475)&gt;0,INDEX(pers_other_inst_2021[Hourly rate],A475)&gt;0)),$B$154,""),"")</f>
        <v/>
      </c>
      <c r="E475" s="113" t="e">
        <f>SUBSTITUTE(IF(INDEX(pers_other_inst_2021[Hourly rate],A475)&gt;IFERROR(INDEX(salaries_other_inst[Max hourly rate],MATCH(INDEX(pers_other_inst_2021[Scale],A475),salaries_other_inst[category],0),1),""),$B$153,""),"&lt;&lt;max_hourly_rate&gt;&gt;",TEXT(IFERROR(INDEX(salaries_other_inst[Max hourly rate],MATCH(INDEX(pers_other_inst_2021[Scale],A475),salaries_other_inst[category],0),1),""),"€ #"))</f>
        <v>#REF!</v>
      </c>
      <c r="F475" s="113" t="str">
        <f>IFERROR(IF(AND(INDEX(pers_other_inst_2021[Amount],A475)&lt;&gt;"",INDEX(pers_other_inst_2021[Months],A475)=0),$B$155,""),"")</f>
        <v/>
      </c>
      <c r="G475" s="113" t="str">
        <f>IFERROR(IF(12*INDEX(pers_other_inst_2021[Total '# hrs],A475)/INDEX(pers_other_inst_2021[Months],A475)&gt;pers_other_nrhours_year,checks!$A$156,""),"")</f>
        <v/>
      </c>
      <c r="H475" t="e">
        <f>IF(AND(organisation_type="yes",INDEX(pers_other_inst_2021[Amount],A371,1)&lt;&gt;"",ISBLANK(INDEX(pers_other_inst_2021[Organisation type],A371,1))),$B$146,"")</f>
        <v>#REF!</v>
      </c>
      <c r="I475" t="e">
        <f>IF(AND(organisation_name="yes",INDEX(pers_other_inst_2021[Amount],A475,1)&lt;&gt;"",ISBLANK(INDEX(pers_other_inst_2021[Name organisation],A475,1))),$B$147,"")</f>
        <v>#REF!</v>
      </c>
    </row>
    <row r="476" spans="1:9" hidden="1" outlineLevel="1" x14ac:dyDescent="0.35">
      <c r="A476" s="113">
        <v>61</v>
      </c>
      <c r="B476" s="113" t="str">
        <f t="array" ref="B476">IFERROR(INDEX(personnel_other_inst_21[[#This Row],[Empty lines]:[Name organisation]],1,MATCH(TRUE,LEN(personnel_other_inst_21[[#This Row],[Empty lines]:[Name organisation]])&gt;0,0)),"")</f>
        <v/>
      </c>
      <c r="C476" s="113" t="str">
        <f>IFERROR(IF(AND(LEN(INDEX(pers_other_inst_2021[Description],A476))+LEN(INDEX(pers_other_inst_2021[Scale],A476))+LEN(INDEX(pers_other_inst_2021[Hourly rate],A476))+LEN(INDEX(pers_other_inst_2021[Total '# hrs],A476))+LEN(INDEX(pers_other_inst_2021[Months],A476))&gt;0,LEN(INDEX(pers_other_inst_2021[Description],A476-1))++LEN(INDEX(pers_other_inst_2021[Scale],A476-1))+LEN(INDEX(pers_other_inst_2021[Hourly rate],A476-1))+LEN(INDEX(pers_other_inst_2021[Total '# hrs],A476-1))+LEN(INDEX(pers_other_inst_2021[Months],A476-1))=0),$B$127,""),"")</f>
        <v/>
      </c>
      <c r="D476" s="113" t="str">
        <f>IFERROR(IF(AND(INDEX(pers_other_inst_2021[Description],A476)="",OR(INDEX(pers_other_inst_2021[Total '# hrs],A476)&gt;0,INDEX(pers_other_inst_2021[Months],A476)&gt;0,INDEX(pers_other_inst_2021[Hourly rate],A476)&gt;0)),$B$154,""),"")</f>
        <v/>
      </c>
      <c r="E476" s="113" t="e">
        <f>SUBSTITUTE(IF(INDEX(pers_other_inst_2021[Hourly rate],A476)&gt;IFERROR(INDEX(salaries_other_inst[Max hourly rate],MATCH(INDEX(pers_other_inst_2021[Scale],A476),salaries_other_inst[category],0),1),""),$B$153,""),"&lt;&lt;max_hourly_rate&gt;&gt;",TEXT(IFERROR(INDEX(salaries_other_inst[Max hourly rate],MATCH(INDEX(pers_other_inst_2021[Scale],A476),salaries_other_inst[category],0),1),""),"€ #"))</f>
        <v>#REF!</v>
      </c>
      <c r="F476" s="113" t="str">
        <f>IFERROR(IF(AND(INDEX(pers_other_inst_2021[Amount],A476)&lt;&gt;"",INDEX(pers_other_inst_2021[Months],A476)=0),$B$155,""),"")</f>
        <v/>
      </c>
      <c r="G476" s="113" t="str">
        <f>IFERROR(IF(12*INDEX(pers_other_inst_2021[Total '# hrs],A476)/INDEX(pers_other_inst_2021[Months],A476)&gt;pers_other_nrhours_year,checks!$A$156,""),"")</f>
        <v/>
      </c>
      <c r="H476" t="e">
        <f>IF(AND(organisation_type="yes",INDEX(pers_other_inst_2021[Amount],A372,1)&lt;&gt;"",ISBLANK(INDEX(pers_other_inst_2021[Organisation type],A372,1))),$B$146,"")</f>
        <v>#REF!</v>
      </c>
      <c r="I476" t="e">
        <f>IF(AND(organisation_name="yes",INDEX(pers_other_inst_2021[Amount],A476,1)&lt;&gt;"",ISBLANK(INDEX(pers_other_inst_2021[Name organisation],A476,1))),$B$147,"")</f>
        <v>#REF!</v>
      </c>
    </row>
    <row r="477" spans="1:9" hidden="1" outlineLevel="1" x14ac:dyDescent="0.35">
      <c r="A477" s="113">
        <v>62</v>
      </c>
      <c r="B477" s="113" t="str">
        <f t="array" ref="B477">IFERROR(INDEX(personnel_other_inst_21[[#This Row],[Empty lines]:[Name organisation]],1,MATCH(TRUE,LEN(personnel_other_inst_21[[#This Row],[Empty lines]:[Name organisation]])&gt;0,0)),"")</f>
        <v/>
      </c>
      <c r="C477" s="113" t="str">
        <f>IFERROR(IF(AND(LEN(INDEX(pers_other_inst_2021[Description],A477))+LEN(INDEX(pers_other_inst_2021[Scale],A477))+LEN(INDEX(pers_other_inst_2021[Hourly rate],A477))+LEN(INDEX(pers_other_inst_2021[Total '# hrs],A477))+LEN(INDEX(pers_other_inst_2021[Months],A477))&gt;0,LEN(INDEX(pers_other_inst_2021[Description],A477-1))++LEN(INDEX(pers_other_inst_2021[Scale],A477-1))+LEN(INDEX(pers_other_inst_2021[Hourly rate],A477-1))+LEN(INDEX(pers_other_inst_2021[Total '# hrs],A477-1))+LEN(INDEX(pers_other_inst_2021[Months],A477-1))=0),$B$127,""),"")</f>
        <v/>
      </c>
      <c r="D477" s="113" t="str">
        <f>IFERROR(IF(AND(INDEX(pers_other_inst_2021[Description],A477)="",OR(INDEX(pers_other_inst_2021[Total '# hrs],A477)&gt;0,INDEX(pers_other_inst_2021[Months],A477)&gt;0,INDEX(pers_other_inst_2021[Hourly rate],A477)&gt;0)),$B$154,""),"")</f>
        <v/>
      </c>
      <c r="E477" s="113" t="e">
        <f>SUBSTITUTE(IF(INDEX(pers_other_inst_2021[Hourly rate],A477)&gt;IFERROR(INDEX(salaries_other_inst[Max hourly rate],MATCH(INDEX(pers_other_inst_2021[Scale],A477),salaries_other_inst[category],0),1),""),$B$153,""),"&lt;&lt;max_hourly_rate&gt;&gt;",TEXT(IFERROR(INDEX(salaries_other_inst[Max hourly rate],MATCH(INDEX(pers_other_inst_2021[Scale],A477),salaries_other_inst[category],0),1),""),"€ #"))</f>
        <v>#REF!</v>
      </c>
      <c r="F477" s="113" t="str">
        <f>IFERROR(IF(AND(INDEX(pers_other_inst_2021[Amount],A477)&lt;&gt;"",INDEX(pers_other_inst_2021[Months],A477)=0),$B$155,""),"")</f>
        <v/>
      </c>
      <c r="G477" s="113" t="str">
        <f>IFERROR(IF(12*INDEX(pers_other_inst_2021[Total '# hrs],A477)/INDEX(pers_other_inst_2021[Months],A477)&gt;pers_other_nrhours_year,checks!$A$156,""),"")</f>
        <v/>
      </c>
      <c r="H477" t="e">
        <f>IF(AND(organisation_type="yes",INDEX(pers_other_inst_2021[Amount],A373,1)&lt;&gt;"",ISBLANK(INDEX(pers_other_inst_2021[Organisation type],A373,1))),$B$146,"")</f>
        <v>#REF!</v>
      </c>
      <c r="I477" t="e">
        <f>IF(AND(organisation_name="yes",INDEX(pers_other_inst_2021[Amount],A477,1)&lt;&gt;"",ISBLANK(INDEX(pers_other_inst_2021[Name organisation],A477,1))),$B$147,"")</f>
        <v>#REF!</v>
      </c>
    </row>
    <row r="478" spans="1:9" hidden="1" outlineLevel="1" x14ac:dyDescent="0.35">
      <c r="A478" s="113">
        <v>63</v>
      </c>
      <c r="B478" s="113" t="str">
        <f t="array" ref="B478">IFERROR(INDEX(personnel_other_inst_21[[#This Row],[Empty lines]:[Name organisation]],1,MATCH(TRUE,LEN(personnel_other_inst_21[[#This Row],[Empty lines]:[Name organisation]])&gt;0,0)),"")</f>
        <v/>
      </c>
      <c r="C478" s="113" t="str">
        <f>IFERROR(IF(AND(LEN(INDEX(pers_other_inst_2021[Description],A478))+LEN(INDEX(pers_other_inst_2021[Scale],A478))+LEN(INDEX(pers_other_inst_2021[Hourly rate],A478))+LEN(INDEX(pers_other_inst_2021[Total '# hrs],A478))+LEN(INDEX(pers_other_inst_2021[Months],A478))&gt;0,LEN(INDEX(pers_other_inst_2021[Description],A478-1))++LEN(INDEX(pers_other_inst_2021[Scale],A478-1))+LEN(INDEX(pers_other_inst_2021[Hourly rate],A478-1))+LEN(INDEX(pers_other_inst_2021[Total '# hrs],A478-1))+LEN(INDEX(pers_other_inst_2021[Months],A478-1))=0),$B$127,""),"")</f>
        <v/>
      </c>
      <c r="D478" s="113" t="str">
        <f>IFERROR(IF(AND(INDEX(pers_other_inst_2021[Description],A478)="",OR(INDEX(pers_other_inst_2021[Total '# hrs],A478)&gt;0,INDEX(pers_other_inst_2021[Months],A478)&gt;0,INDEX(pers_other_inst_2021[Hourly rate],A478)&gt;0)),$B$154,""),"")</f>
        <v/>
      </c>
      <c r="E478" s="113" t="e">
        <f>SUBSTITUTE(IF(INDEX(pers_other_inst_2021[Hourly rate],A478)&gt;IFERROR(INDEX(salaries_other_inst[Max hourly rate],MATCH(INDEX(pers_other_inst_2021[Scale],A478),salaries_other_inst[category],0),1),""),$B$153,""),"&lt;&lt;max_hourly_rate&gt;&gt;",TEXT(IFERROR(INDEX(salaries_other_inst[Max hourly rate],MATCH(INDEX(pers_other_inst_2021[Scale],A478),salaries_other_inst[category],0),1),""),"€ #"))</f>
        <v>#REF!</v>
      </c>
      <c r="F478" s="113" t="str">
        <f>IFERROR(IF(AND(INDEX(pers_other_inst_2021[Amount],A478)&lt;&gt;"",INDEX(pers_other_inst_2021[Months],A478)=0),$B$155,""),"")</f>
        <v/>
      </c>
      <c r="G478" s="113" t="str">
        <f>IFERROR(IF(12*INDEX(pers_other_inst_2021[Total '# hrs],A478)/INDEX(pers_other_inst_2021[Months],A478)&gt;pers_other_nrhours_year,checks!$A$156,""),"")</f>
        <v/>
      </c>
      <c r="H478" t="e">
        <f>IF(AND(organisation_type="yes",INDEX(pers_other_inst_2021[Amount],A374,1)&lt;&gt;"",ISBLANK(INDEX(pers_other_inst_2021[Organisation type],A374,1))),$B$146,"")</f>
        <v>#REF!</v>
      </c>
      <c r="I478" t="e">
        <f>IF(AND(organisation_name="yes",INDEX(pers_other_inst_2021[Amount],A478,1)&lt;&gt;"",ISBLANK(INDEX(pers_other_inst_2021[Name organisation],A478,1))),$B$147,"")</f>
        <v>#REF!</v>
      </c>
    </row>
    <row r="479" spans="1:9" hidden="1" outlineLevel="1" x14ac:dyDescent="0.35">
      <c r="A479" s="113">
        <v>64</v>
      </c>
      <c r="B479" s="113" t="str">
        <f t="array" ref="B479">IFERROR(INDEX(personnel_other_inst_21[[#This Row],[Empty lines]:[Name organisation]],1,MATCH(TRUE,LEN(personnel_other_inst_21[[#This Row],[Empty lines]:[Name organisation]])&gt;0,0)),"")</f>
        <v/>
      </c>
      <c r="C479" s="113" t="str">
        <f>IFERROR(IF(AND(LEN(INDEX(pers_other_inst_2021[Description],A479))+LEN(INDEX(pers_other_inst_2021[Scale],A479))+LEN(INDEX(pers_other_inst_2021[Hourly rate],A479))+LEN(INDEX(pers_other_inst_2021[Total '# hrs],A479))+LEN(INDEX(pers_other_inst_2021[Months],A479))&gt;0,LEN(INDEX(pers_other_inst_2021[Description],A479-1))++LEN(INDEX(pers_other_inst_2021[Scale],A479-1))+LEN(INDEX(pers_other_inst_2021[Hourly rate],A479-1))+LEN(INDEX(pers_other_inst_2021[Total '# hrs],A479-1))+LEN(INDEX(pers_other_inst_2021[Months],A479-1))=0),$B$127,""),"")</f>
        <v/>
      </c>
      <c r="D479" s="113" t="str">
        <f>IFERROR(IF(AND(INDEX(pers_other_inst_2021[Description],A479)="",OR(INDEX(pers_other_inst_2021[Total '# hrs],A479)&gt;0,INDEX(pers_other_inst_2021[Months],A479)&gt;0,INDEX(pers_other_inst_2021[Hourly rate],A479)&gt;0)),$B$154,""),"")</f>
        <v/>
      </c>
      <c r="E479" s="113" t="e">
        <f>SUBSTITUTE(IF(INDEX(pers_other_inst_2021[Hourly rate],A479)&gt;IFERROR(INDEX(salaries_other_inst[Max hourly rate],MATCH(INDEX(pers_other_inst_2021[Scale],A479),salaries_other_inst[category],0),1),""),$B$153,""),"&lt;&lt;max_hourly_rate&gt;&gt;",TEXT(IFERROR(INDEX(salaries_other_inst[Max hourly rate],MATCH(INDEX(pers_other_inst_2021[Scale],A479),salaries_other_inst[category],0),1),""),"€ #"))</f>
        <v>#REF!</v>
      </c>
      <c r="F479" s="113" t="str">
        <f>IFERROR(IF(AND(INDEX(pers_other_inst_2021[Amount],A479)&lt;&gt;"",INDEX(pers_other_inst_2021[Months],A479)=0),$B$155,""),"")</f>
        <v/>
      </c>
      <c r="G479" s="113" t="str">
        <f>IFERROR(IF(12*INDEX(pers_other_inst_2021[Total '# hrs],A479)/INDEX(pers_other_inst_2021[Months],A479)&gt;pers_other_nrhours_year,checks!$A$156,""),"")</f>
        <v/>
      </c>
      <c r="H479" t="e">
        <f>IF(AND(organisation_type="yes",INDEX(pers_other_inst_2021[Amount],A375,1)&lt;&gt;"",ISBLANK(INDEX(pers_other_inst_2021[Organisation type],A375,1))),$B$146,"")</f>
        <v>#REF!</v>
      </c>
      <c r="I479" t="e">
        <f>IF(AND(organisation_name="yes",INDEX(pers_other_inst_2021[Amount],A479,1)&lt;&gt;"",ISBLANK(INDEX(pers_other_inst_2021[Name organisation],A479,1))),$B$147,"")</f>
        <v>#REF!</v>
      </c>
    </row>
    <row r="480" spans="1:9" hidden="1" outlineLevel="1" x14ac:dyDescent="0.35">
      <c r="A480" s="113">
        <v>65</v>
      </c>
      <c r="B480" s="113" t="str">
        <f t="array" ref="B480">IFERROR(INDEX(personnel_other_inst_21[[#This Row],[Empty lines]:[Name organisation]],1,MATCH(TRUE,LEN(personnel_other_inst_21[[#This Row],[Empty lines]:[Name organisation]])&gt;0,0)),"")</f>
        <v/>
      </c>
      <c r="C480" s="113" t="str">
        <f>IFERROR(IF(AND(LEN(INDEX(pers_other_inst_2021[Description],A480))+LEN(INDEX(pers_other_inst_2021[Scale],A480))+LEN(INDEX(pers_other_inst_2021[Hourly rate],A480))+LEN(INDEX(pers_other_inst_2021[Total '# hrs],A480))+LEN(INDEX(pers_other_inst_2021[Months],A480))&gt;0,LEN(INDEX(pers_other_inst_2021[Description],A480-1))++LEN(INDEX(pers_other_inst_2021[Scale],A480-1))+LEN(INDEX(pers_other_inst_2021[Hourly rate],A480-1))+LEN(INDEX(pers_other_inst_2021[Total '# hrs],A480-1))+LEN(INDEX(pers_other_inst_2021[Months],A480-1))=0),$B$127,""),"")</f>
        <v/>
      </c>
      <c r="D480" s="113" t="str">
        <f>IFERROR(IF(AND(INDEX(pers_other_inst_2021[Description],A480)="",OR(INDEX(pers_other_inst_2021[Total '# hrs],A480)&gt;0,INDEX(pers_other_inst_2021[Months],A480)&gt;0,INDEX(pers_other_inst_2021[Hourly rate],A480)&gt;0)),$B$154,""),"")</f>
        <v/>
      </c>
      <c r="E480" s="113" t="e">
        <f>SUBSTITUTE(IF(INDEX(pers_other_inst_2021[Hourly rate],A480)&gt;IFERROR(INDEX(salaries_other_inst[Max hourly rate],MATCH(INDEX(pers_other_inst_2021[Scale],A480),salaries_other_inst[category],0),1),""),$B$153,""),"&lt;&lt;max_hourly_rate&gt;&gt;",TEXT(IFERROR(INDEX(salaries_other_inst[Max hourly rate],MATCH(INDEX(pers_other_inst_2021[Scale],A480),salaries_other_inst[category],0),1),""),"€ #"))</f>
        <v>#REF!</v>
      </c>
      <c r="F480" s="113" t="str">
        <f>IFERROR(IF(AND(INDEX(pers_other_inst_2021[Amount],A480)&lt;&gt;"",INDEX(pers_other_inst_2021[Months],A480)=0),$B$155,""),"")</f>
        <v/>
      </c>
      <c r="G480" s="113" t="str">
        <f>IFERROR(IF(12*INDEX(pers_other_inst_2021[Total '# hrs],A480)/INDEX(pers_other_inst_2021[Months],A480)&gt;pers_other_nrhours_year,checks!$A$156,""),"")</f>
        <v/>
      </c>
      <c r="H480" t="e">
        <f>IF(AND(organisation_type="yes",INDEX(pers_other_inst_2021[Amount],A376,1)&lt;&gt;"",ISBLANK(INDEX(pers_other_inst_2021[Organisation type],A376,1))),$B$146,"")</f>
        <v>#REF!</v>
      </c>
      <c r="I480" t="e">
        <f>IF(AND(organisation_name="yes",INDEX(pers_other_inst_2021[Amount],A480,1)&lt;&gt;"",ISBLANK(INDEX(pers_other_inst_2021[Name organisation],A480,1))),$B$147,"")</f>
        <v>#REF!</v>
      </c>
    </row>
    <row r="481" spans="1:9" hidden="1" outlineLevel="1" x14ac:dyDescent="0.35">
      <c r="A481" s="113">
        <v>66</v>
      </c>
      <c r="B481" s="113" t="str">
        <f t="array" ref="B481">IFERROR(INDEX(personnel_other_inst_21[[#This Row],[Empty lines]:[Name organisation]],1,MATCH(TRUE,LEN(personnel_other_inst_21[[#This Row],[Empty lines]:[Name organisation]])&gt;0,0)),"")</f>
        <v/>
      </c>
      <c r="C481" s="113" t="str">
        <f>IFERROR(IF(AND(LEN(INDEX(pers_other_inst_2021[Description],A481))+LEN(INDEX(pers_other_inst_2021[Scale],A481))+LEN(INDEX(pers_other_inst_2021[Hourly rate],A481))+LEN(INDEX(pers_other_inst_2021[Total '# hrs],A481))+LEN(INDEX(pers_other_inst_2021[Months],A481))&gt;0,LEN(INDEX(pers_other_inst_2021[Description],A481-1))++LEN(INDEX(pers_other_inst_2021[Scale],A481-1))+LEN(INDEX(pers_other_inst_2021[Hourly rate],A481-1))+LEN(INDEX(pers_other_inst_2021[Total '# hrs],A481-1))+LEN(INDEX(pers_other_inst_2021[Months],A481-1))=0),$B$127,""),"")</f>
        <v/>
      </c>
      <c r="D481" s="113" t="str">
        <f>IFERROR(IF(AND(INDEX(pers_other_inst_2021[Description],A481)="",OR(INDEX(pers_other_inst_2021[Total '# hrs],A481)&gt;0,INDEX(pers_other_inst_2021[Months],A481)&gt;0,INDEX(pers_other_inst_2021[Hourly rate],A481)&gt;0)),$B$154,""),"")</f>
        <v/>
      </c>
      <c r="E481" s="113" t="e">
        <f>SUBSTITUTE(IF(INDEX(pers_other_inst_2021[Hourly rate],A481)&gt;IFERROR(INDEX(salaries_other_inst[Max hourly rate],MATCH(INDEX(pers_other_inst_2021[Scale],A481),salaries_other_inst[category],0),1),""),$B$153,""),"&lt;&lt;max_hourly_rate&gt;&gt;",TEXT(IFERROR(INDEX(salaries_other_inst[Max hourly rate],MATCH(INDEX(pers_other_inst_2021[Scale],A481),salaries_other_inst[category],0),1),""),"€ #"))</f>
        <v>#REF!</v>
      </c>
      <c r="F481" s="113" t="str">
        <f>IFERROR(IF(AND(INDEX(pers_other_inst_2021[Amount],A481)&lt;&gt;"",INDEX(pers_other_inst_2021[Months],A481)=0),$B$155,""),"")</f>
        <v/>
      </c>
      <c r="G481" s="113" t="str">
        <f>IFERROR(IF(12*INDEX(pers_other_inst_2021[Total '# hrs],A481)/INDEX(pers_other_inst_2021[Months],A481)&gt;pers_other_nrhours_year,checks!$A$156,""),"")</f>
        <v/>
      </c>
      <c r="H481" t="e">
        <f>IF(AND(organisation_type="yes",INDEX(pers_other_inst_2021[Amount],A377,1)&lt;&gt;"",ISBLANK(INDEX(pers_other_inst_2021[Organisation type],A377,1))),$B$146,"")</f>
        <v>#REF!</v>
      </c>
      <c r="I481" t="e">
        <f>IF(AND(organisation_name="yes",INDEX(pers_other_inst_2021[Amount],A481,1)&lt;&gt;"",ISBLANK(INDEX(pers_other_inst_2021[Name organisation],A481,1))),$B$147,"")</f>
        <v>#REF!</v>
      </c>
    </row>
    <row r="482" spans="1:9" hidden="1" outlineLevel="1" x14ac:dyDescent="0.35">
      <c r="A482" s="113">
        <v>67</v>
      </c>
      <c r="B482" s="113" t="str">
        <f t="array" ref="B482">IFERROR(INDEX(personnel_other_inst_21[[#This Row],[Empty lines]:[Name organisation]],1,MATCH(TRUE,LEN(personnel_other_inst_21[[#This Row],[Empty lines]:[Name organisation]])&gt;0,0)),"")</f>
        <v/>
      </c>
      <c r="C482" s="113" t="str">
        <f>IFERROR(IF(AND(LEN(INDEX(pers_other_inst_2021[Description],A482))+LEN(INDEX(pers_other_inst_2021[Scale],A482))+LEN(INDEX(pers_other_inst_2021[Hourly rate],A482))+LEN(INDEX(pers_other_inst_2021[Total '# hrs],A482))+LEN(INDEX(pers_other_inst_2021[Months],A482))&gt;0,LEN(INDEX(pers_other_inst_2021[Description],A482-1))++LEN(INDEX(pers_other_inst_2021[Scale],A482-1))+LEN(INDEX(pers_other_inst_2021[Hourly rate],A482-1))+LEN(INDEX(pers_other_inst_2021[Total '# hrs],A482-1))+LEN(INDEX(pers_other_inst_2021[Months],A482-1))=0),$B$127,""),"")</f>
        <v/>
      </c>
      <c r="D482" s="113" t="str">
        <f>IFERROR(IF(AND(INDEX(pers_other_inst_2021[Description],A482)="",OR(INDEX(pers_other_inst_2021[Total '# hrs],A482)&gt;0,INDEX(pers_other_inst_2021[Months],A482)&gt;0,INDEX(pers_other_inst_2021[Hourly rate],A482)&gt;0)),$B$154,""),"")</f>
        <v/>
      </c>
      <c r="E482" s="113" t="e">
        <f>SUBSTITUTE(IF(INDEX(pers_other_inst_2021[Hourly rate],A482)&gt;IFERROR(INDEX(salaries_other_inst[Max hourly rate],MATCH(INDEX(pers_other_inst_2021[Scale],A482),salaries_other_inst[category],0),1),""),$B$153,""),"&lt;&lt;max_hourly_rate&gt;&gt;",TEXT(IFERROR(INDEX(salaries_other_inst[Max hourly rate],MATCH(INDEX(pers_other_inst_2021[Scale],A482),salaries_other_inst[category],0),1),""),"€ #"))</f>
        <v>#REF!</v>
      </c>
      <c r="F482" s="113" t="str">
        <f>IFERROR(IF(AND(INDEX(pers_other_inst_2021[Amount],A482)&lt;&gt;"",INDEX(pers_other_inst_2021[Months],A482)=0),$B$155,""),"")</f>
        <v/>
      </c>
      <c r="G482" s="113" t="str">
        <f>IFERROR(IF(12*INDEX(pers_other_inst_2021[Total '# hrs],A482)/INDEX(pers_other_inst_2021[Months],A482)&gt;pers_other_nrhours_year,checks!$A$156,""),"")</f>
        <v/>
      </c>
      <c r="H482" t="e">
        <f>IF(AND(organisation_type="yes",INDEX(pers_other_inst_2021[Amount],A378,1)&lt;&gt;"",ISBLANK(INDEX(pers_other_inst_2021[Organisation type],A378,1))),$B$146,"")</f>
        <v>#REF!</v>
      </c>
      <c r="I482" t="e">
        <f>IF(AND(organisation_name="yes",INDEX(pers_other_inst_2021[Amount],A482,1)&lt;&gt;"",ISBLANK(INDEX(pers_other_inst_2021[Name organisation],A482,1))),$B$147,"")</f>
        <v>#REF!</v>
      </c>
    </row>
    <row r="483" spans="1:9" hidden="1" outlineLevel="1" x14ac:dyDescent="0.35">
      <c r="A483" s="113">
        <v>68</v>
      </c>
      <c r="B483" s="113" t="str">
        <f t="array" ref="B483">IFERROR(INDEX(personnel_other_inst_21[[#This Row],[Empty lines]:[Name organisation]],1,MATCH(TRUE,LEN(personnel_other_inst_21[[#This Row],[Empty lines]:[Name organisation]])&gt;0,0)),"")</f>
        <v/>
      </c>
      <c r="C483" s="113" t="str">
        <f>IFERROR(IF(AND(LEN(INDEX(pers_other_inst_2021[Description],A483))+LEN(INDEX(pers_other_inst_2021[Scale],A483))+LEN(INDEX(pers_other_inst_2021[Hourly rate],A483))+LEN(INDEX(pers_other_inst_2021[Total '# hrs],A483))+LEN(INDEX(pers_other_inst_2021[Months],A483))&gt;0,LEN(INDEX(pers_other_inst_2021[Description],A483-1))++LEN(INDEX(pers_other_inst_2021[Scale],A483-1))+LEN(INDEX(pers_other_inst_2021[Hourly rate],A483-1))+LEN(INDEX(pers_other_inst_2021[Total '# hrs],A483-1))+LEN(INDEX(pers_other_inst_2021[Months],A483-1))=0),$B$127,""),"")</f>
        <v/>
      </c>
      <c r="D483" s="113" t="str">
        <f>IFERROR(IF(AND(INDEX(pers_other_inst_2021[Description],A483)="",OR(INDEX(pers_other_inst_2021[Total '# hrs],A483)&gt;0,INDEX(pers_other_inst_2021[Months],A483)&gt;0,INDEX(pers_other_inst_2021[Hourly rate],A483)&gt;0)),$B$154,""),"")</f>
        <v/>
      </c>
      <c r="E483" s="113" t="e">
        <f>SUBSTITUTE(IF(INDEX(pers_other_inst_2021[Hourly rate],A483)&gt;IFERROR(INDEX(salaries_other_inst[Max hourly rate],MATCH(INDEX(pers_other_inst_2021[Scale],A483),salaries_other_inst[category],0),1),""),$B$153,""),"&lt;&lt;max_hourly_rate&gt;&gt;",TEXT(IFERROR(INDEX(salaries_other_inst[Max hourly rate],MATCH(INDEX(pers_other_inst_2021[Scale],A483),salaries_other_inst[category],0),1),""),"€ #"))</f>
        <v>#REF!</v>
      </c>
      <c r="F483" s="113" t="str">
        <f>IFERROR(IF(AND(INDEX(pers_other_inst_2021[Amount],A483)&lt;&gt;"",INDEX(pers_other_inst_2021[Months],A483)=0),$B$155,""),"")</f>
        <v/>
      </c>
      <c r="G483" s="113" t="str">
        <f>IFERROR(IF(12*INDEX(pers_other_inst_2021[Total '# hrs],A483)/INDEX(pers_other_inst_2021[Months],A483)&gt;pers_other_nrhours_year,checks!$A$156,""),"")</f>
        <v/>
      </c>
      <c r="H483" t="e">
        <f>IF(AND(organisation_type="yes",INDEX(pers_other_inst_2021[Amount],A379,1)&lt;&gt;"",ISBLANK(INDEX(pers_other_inst_2021[Organisation type],A379,1))),$B$146,"")</f>
        <v>#REF!</v>
      </c>
      <c r="I483" t="e">
        <f>IF(AND(organisation_name="yes",INDEX(pers_other_inst_2021[Amount],A483,1)&lt;&gt;"",ISBLANK(INDEX(pers_other_inst_2021[Name organisation],A483,1))),$B$147,"")</f>
        <v>#REF!</v>
      </c>
    </row>
    <row r="484" spans="1:9" hidden="1" outlineLevel="1" x14ac:dyDescent="0.35">
      <c r="A484" s="113">
        <v>69</v>
      </c>
      <c r="B484" s="113" t="str">
        <f t="array" ref="B484">IFERROR(INDEX(personnel_other_inst_21[[#This Row],[Empty lines]:[Name organisation]],1,MATCH(TRUE,LEN(personnel_other_inst_21[[#This Row],[Empty lines]:[Name organisation]])&gt;0,0)),"")</f>
        <v/>
      </c>
      <c r="C484" s="113" t="str">
        <f>IFERROR(IF(AND(LEN(INDEX(pers_other_inst_2021[Description],A484))+LEN(INDEX(pers_other_inst_2021[Scale],A484))+LEN(INDEX(pers_other_inst_2021[Hourly rate],A484))+LEN(INDEX(pers_other_inst_2021[Total '# hrs],A484))+LEN(INDEX(pers_other_inst_2021[Months],A484))&gt;0,LEN(INDEX(pers_other_inst_2021[Description],A484-1))++LEN(INDEX(pers_other_inst_2021[Scale],A484-1))+LEN(INDEX(pers_other_inst_2021[Hourly rate],A484-1))+LEN(INDEX(pers_other_inst_2021[Total '# hrs],A484-1))+LEN(INDEX(pers_other_inst_2021[Months],A484-1))=0),$B$127,""),"")</f>
        <v/>
      </c>
      <c r="D484" s="113" t="str">
        <f>IFERROR(IF(AND(INDEX(pers_other_inst_2021[Description],A484)="",OR(INDEX(pers_other_inst_2021[Total '# hrs],A484)&gt;0,INDEX(pers_other_inst_2021[Months],A484)&gt;0,INDEX(pers_other_inst_2021[Hourly rate],A484)&gt;0)),$B$154,""),"")</f>
        <v/>
      </c>
      <c r="E484" s="113" t="e">
        <f>SUBSTITUTE(IF(INDEX(pers_other_inst_2021[Hourly rate],A484)&gt;IFERROR(INDEX(salaries_other_inst[Max hourly rate],MATCH(INDEX(pers_other_inst_2021[Scale],A484),salaries_other_inst[category],0),1),""),$B$153,""),"&lt;&lt;max_hourly_rate&gt;&gt;",TEXT(IFERROR(INDEX(salaries_other_inst[Max hourly rate],MATCH(INDEX(pers_other_inst_2021[Scale],A484),salaries_other_inst[category],0),1),""),"€ #"))</f>
        <v>#REF!</v>
      </c>
      <c r="F484" s="113" t="str">
        <f>IFERROR(IF(AND(INDEX(pers_other_inst_2021[Amount],A484)&lt;&gt;"",INDEX(pers_other_inst_2021[Months],A484)=0),$B$155,""),"")</f>
        <v/>
      </c>
      <c r="G484" s="113" t="str">
        <f>IFERROR(IF(12*INDEX(pers_other_inst_2021[Total '# hrs],A484)/INDEX(pers_other_inst_2021[Months],A484)&gt;pers_other_nrhours_year,checks!$A$156,""),"")</f>
        <v/>
      </c>
      <c r="H484" t="e">
        <f>IF(AND(organisation_type="yes",INDEX(pers_other_inst_2021[Amount],A380,1)&lt;&gt;"",ISBLANK(INDEX(pers_other_inst_2021[Organisation type],A380,1))),$B$146,"")</f>
        <v>#REF!</v>
      </c>
      <c r="I484" t="e">
        <f>IF(AND(organisation_name="yes",INDEX(pers_other_inst_2021[Amount],A484,1)&lt;&gt;"",ISBLANK(INDEX(pers_other_inst_2021[Name organisation],A484,1))),$B$147,"")</f>
        <v>#REF!</v>
      </c>
    </row>
    <row r="485" spans="1:9" hidden="1" outlineLevel="1" x14ac:dyDescent="0.35">
      <c r="A485" s="113">
        <v>70</v>
      </c>
      <c r="B485" s="113" t="str">
        <f t="array" ref="B485">IFERROR(INDEX(personnel_other_inst_21[[#This Row],[Empty lines]:[Name organisation]],1,MATCH(TRUE,LEN(personnel_other_inst_21[[#This Row],[Empty lines]:[Name organisation]])&gt;0,0)),"")</f>
        <v/>
      </c>
      <c r="C485" s="113" t="str">
        <f>IFERROR(IF(AND(LEN(INDEX(pers_other_inst_2021[Description],A485))+LEN(INDEX(pers_other_inst_2021[Scale],A485))+LEN(INDEX(pers_other_inst_2021[Hourly rate],A485))+LEN(INDEX(pers_other_inst_2021[Total '# hrs],A485))+LEN(INDEX(pers_other_inst_2021[Months],A485))&gt;0,LEN(INDEX(pers_other_inst_2021[Description],A485-1))++LEN(INDEX(pers_other_inst_2021[Scale],A485-1))+LEN(INDEX(pers_other_inst_2021[Hourly rate],A485-1))+LEN(INDEX(pers_other_inst_2021[Total '# hrs],A485-1))+LEN(INDEX(pers_other_inst_2021[Months],A485-1))=0),$B$127,""),"")</f>
        <v/>
      </c>
      <c r="D485" s="113" t="str">
        <f>IFERROR(IF(AND(INDEX(pers_other_inst_2021[Description],A485)="",OR(INDEX(pers_other_inst_2021[Total '# hrs],A485)&gt;0,INDEX(pers_other_inst_2021[Months],A485)&gt;0,INDEX(pers_other_inst_2021[Hourly rate],A485)&gt;0)),$B$154,""),"")</f>
        <v/>
      </c>
      <c r="E485" s="113" t="e">
        <f>SUBSTITUTE(IF(INDEX(pers_other_inst_2021[Hourly rate],A485)&gt;IFERROR(INDEX(salaries_other_inst[Max hourly rate],MATCH(INDEX(pers_other_inst_2021[Scale],A485),salaries_other_inst[category],0),1),""),$B$153,""),"&lt;&lt;max_hourly_rate&gt;&gt;",TEXT(IFERROR(INDEX(salaries_other_inst[Max hourly rate],MATCH(INDEX(pers_other_inst_2021[Scale],A485),salaries_other_inst[category],0),1),""),"€ #"))</f>
        <v>#REF!</v>
      </c>
      <c r="F485" s="113" t="str">
        <f>IFERROR(IF(AND(INDEX(pers_other_inst_2021[Amount],A485)&lt;&gt;"",INDEX(pers_other_inst_2021[Months],A485)=0),$B$155,""),"")</f>
        <v/>
      </c>
      <c r="G485" s="113" t="str">
        <f>IFERROR(IF(12*INDEX(pers_other_inst_2021[Total '# hrs],A485)/INDEX(pers_other_inst_2021[Months],A485)&gt;pers_other_nrhours_year,checks!$A$156,""),"")</f>
        <v/>
      </c>
      <c r="H485" t="e">
        <f>IF(AND(organisation_type="yes",INDEX(pers_other_inst_2021[Amount],A381,1)&lt;&gt;"",ISBLANK(INDEX(pers_other_inst_2021[Organisation type],A381,1))),$B$146,"")</f>
        <v>#REF!</v>
      </c>
      <c r="I485" t="e">
        <f>IF(AND(organisation_name="yes",INDEX(pers_other_inst_2021[Amount],A485,1)&lt;&gt;"",ISBLANK(INDEX(pers_other_inst_2021[Name organisation],A485,1))),$B$147,"")</f>
        <v>#REF!</v>
      </c>
    </row>
    <row r="486" spans="1:9" hidden="1" outlineLevel="1" x14ac:dyDescent="0.35">
      <c r="A486" s="113">
        <v>71</v>
      </c>
      <c r="B486" s="113" t="str">
        <f t="array" ref="B486">IFERROR(INDEX(personnel_other_inst_21[[#This Row],[Empty lines]:[Name organisation]],1,MATCH(TRUE,LEN(personnel_other_inst_21[[#This Row],[Empty lines]:[Name organisation]])&gt;0,0)),"")</f>
        <v/>
      </c>
      <c r="C486" s="113" t="str">
        <f>IFERROR(IF(AND(LEN(INDEX(pers_other_inst_2021[Description],A486))+LEN(INDEX(pers_other_inst_2021[Scale],A486))+LEN(INDEX(pers_other_inst_2021[Hourly rate],A486))+LEN(INDEX(pers_other_inst_2021[Total '# hrs],A486))+LEN(INDEX(pers_other_inst_2021[Months],A486))&gt;0,LEN(INDEX(pers_other_inst_2021[Description],A486-1))++LEN(INDEX(pers_other_inst_2021[Scale],A486-1))+LEN(INDEX(pers_other_inst_2021[Hourly rate],A486-1))+LEN(INDEX(pers_other_inst_2021[Total '# hrs],A486-1))+LEN(INDEX(pers_other_inst_2021[Months],A486-1))=0),$B$127,""),"")</f>
        <v/>
      </c>
      <c r="D486" s="113" t="str">
        <f>IFERROR(IF(AND(INDEX(pers_other_inst_2021[Description],A486)="",OR(INDEX(pers_other_inst_2021[Total '# hrs],A486)&gt;0,INDEX(pers_other_inst_2021[Months],A486)&gt;0,INDEX(pers_other_inst_2021[Hourly rate],A486)&gt;0)),$B$154,""),"")</f>
        <v/>
      </c>
      <c r="E486" s="113" t="e">
        <f>SUBSTITUTE(IF(INDEX(pers_other_inst_2021[Hourly rate],A486)&gt;IFERROR(INDEX(salaries_other_inst[Max hourly rate],MATCH(INDEX(pers_other_inst_2021[Scale],A486),salaries_other_inst[category],0),1),""),$B$153,""),"&lt;&lt;max_hourly_rate&gt;&gt;",TEXT(IFERROR(INDEX(salaries_other_inst[Max hourly rate],MATCH(INDEX(pers_other_inst_2021[Scale],A486),salaries_other_inst[category],0),1),""),"€ #"))</f>
        <v>#REF!</v>
      </c>
      <c r="F486" s="113" t="str">
        <f>IFERROR(IF(AND(INDEX(pers_other_inst_2021[Amount],A486)&lt;&gt;"",INDEX(pers_other_inst_2021[Months],A486)=0),$B$155,""),"")</f>
        <v/>
      </c>
      <c r="G486" s="113" t="str">
        <f>IFERROR(IF(12*INDEX(pers_other_inst_2021[Total '# hrs],A486)/INDEX(pers_other_inst_2021[Months],A486)&gt;pers_other_nrhours_year,checks!$A$156,""),"")</f>
        <v/>
      </c>
      <c r="H486" t="e">
        <f>IF(AND(organisation_type="yes",INDEX(pers_other_inst_2021[Amount],A382,1)&lt;&gt;"",ISBLANK(INDEX(pers_other_inst_2021[Organisation type],A382,1))),$B$146,"")</f>
        <v>#REF!</v>
      </c>
      <c r="I486" t="e">
        <f>IF(AND(organisation_name="yes",INDEX(pers_other_inst_2021[Amount],A486,1)&lt;&gt;"",ISBLANK(INDEX(pers_other_inst_2021[Name organisation],A486,1))),$B$147,"")</f>
        <v>#REF!</v>
      </c>
    </row>
    <row r="487" spans="1:9" hidden="1" outlineLevel="1" x14ac:dyDescent="0.35">
      <c r="A487" s="113">
        <v>72</v>
      </c>
      <c r="B487" s="113" t="str">
        <f t="array" ref="B487">IFERROR(INDEX(personnel_other_inst_21[[#This Row],[Empty lines]:[Name organisation]],1,MATCH(TRUE,LEN(personnel_other_inst_21[[#This Row],[Empty lines]:[Name organisation]])&gt;0,0)),"")</f>
        <v/>
      </c>
      <c r="C487" s="113" t="str">
        <f>IFERROR(IF(AND(LEN(INDEX(pers_other_inst_2021[Description],A487))+LEN(INDEX(pers_other_inst_2021[Scale],A487))+LEN(INDEX(pers_other_inst_2021[Hourly rate],A487))+LEN(INDEX(pers_other_inst_2021[Total '# hrs],A487))+LEN(INDEX(pers_other_inst_2021[Months],A487))&gt;0,LEN(INDEX(pers_other_inst_2021[Description],A487-1))++LEN(INDEX(pers_other_inst_2021[Scale],A487-1))+LEN(INDEX(pers_other_inst_2021[Hourly rate],A487-1))+LEN(INDEX(pers_other_inst_2021[Total '# hrs],A487-1))+LEN(INDEX(pers_other_inst_2021[Months],A487-1))=0),$B$127,""),"")</f>
        <v/>
      </c>
      <c r="D487" s="113" t="str">
        <f>IFERROR(IF(AND(INDEX(pers_other_inst_2021[Description],A487)="",OR(INDEX(pers_other_inst_2021[Total '# hrs],A487)&gt;0,INDEX(pers_other_inst_2021[Months],A487)&gt;0,INDEX(pers_other_inst_2021[Hourly rate],A487)&gt;0)),$B$154,""),"")</f>
        <v/>
      </c>
      <c r="E487" s="113" t="e">
        <f>SUBSTITUTE(IF(INDEX(pers_other_inst_2021[Hourly rate],A487)&gt;IFERROR(INDEX(salaries_other_inst[Max hourly rate],MATCH(INDEX(pers_other_inst_2021[Scale],A487),salaries_other_inst[category],0),1),""),$B$153,""),"&lt;&lt;max_hourly_rate&gt;&gt;",TEXT(IFERROR(INDEX(salaries_other_inst[Max hourly rate],MATCH(INDEX(pers_other_inst_2021[Scale],A487),salaries_other_inst[category],0),1),""),"€ #"))</f>
        <v>#REF!</v>
      </c>
      <c r="F487" s="113" t="str">
        <f>IFERROR(IF(AND(INDEX(pers_other_inst_2021[Amount],A487)&lt;&gt;"",INDEX(pers_other_inst_2021[Months],A487)=0),$B$155,""),"")</f>
        <v/>
      </c>
      <c r="G487" s="113" t="str">
        <f>IFERROR(IF(12*INDEX(pers_other_inst_2021[Total '# hrs],A487)/INDEX(pers_other_inst_2021[Months],A487)&gt;pers_other_nrhours_year,checks!$A$156,""),"")</f>
        <v/>
      </c>
      <c r="H487" t="e">
        <f>IF(AND(organisation_type="yes",INDEX(pers_other_inst_2021[Amount],A383,1)&lt;&gt;"",ISBLANK(INDEX(pers_other_inst_2021[Organisation type],A383,1))),$B$146,"")</f>
        <v>#REF!</v>
      </c>
      <c r="I487" t="e">
        <f>IF(AND(organisation_name="yes",INDEX(pers_other_inst_2021[Amount],A487,1)&lt;&gt;"",ISBLANK(INDEX(pers_other_inst_2021[Name organisation],A487,1))),$B$147,"")</f>
        <v>#REF!</v>
      </c>
    </row>
    <row r="488" spans="1:9" hidden="1" outlineLevel="1" x14ac:dyDescent="0.35">
      <c r="A488" s="113">
        <v>73</v>
      </c>
      <c r="B488" s="113" t="str">
        <f t="array" ref="B488">IFERROR(INDEX(personnel_other_inst_21[[#This Row],[Empty lines]:[Name organisation]],1,MATCH(TRUE,LEN(personnel_other_inst_21[[#This Row],[Empty lines]:[Name organisation]])&gt;0,0)),"")</f>
        <v/>
      </c>
      <c r="C488" s="113" t="str">
        <f>IFERROR(IF(AND(LEN(INDEX(pers_other_inst_2021[Description],A488))+LEN(INDEX(pers_other_inst_2021[Scale],A488))+LEN(INDEX(pers_other_inst_2021[Hourly rate],A488))+LEN(INDEX(pers_other_inst_2021[Total '# hrs],A488))+LEN(INDEX(pers_other_inst_2021[Months],A488))&gt;0,LEN(INDEX(pers_other_inst_2021[Description],A488-1))++LEN(INDEX(pers_other_inst_2021[Scale],A488-1))+LEN(INDEX(pers_other_inst_2021[Hourly rate],A488-1))+LEN(INDEX(pers_other_inst_2021[Total '# hrs],A488-1))+LEN(INDEX(pers_other_inst_2021[Months],A488-1))=0),$B$127,""),"")</f>
        <v/>
      </c>
      <c r="D488" s="113" t="str">
        <f>IFERROR(IF(AND(INDEX(pers_other_inst_2021[Description],A488)="",OR(INDEX(pers_other_inst_2021[Total '# hrs],A488)&gt;0,INDEX(pers_other_inst_2021[Months],A488)&gt;0,INDEX(pers_other_inst_2021[Hourly rate],A488)&gt;0)),$B$154,""),"")</f>
        <v/>
      </c>
      <c r="E488" s="113" t="e">
        <f>SUBSTITUTE(IF(INDEX(pers_other_inst_2021[Hourly rate],A488)&gt;IFERROR(INDEX(salaries_other_inst[Max hourly rate],MATCH(INDEX(pers_other_inst_2021[Scale],A488),salaries_other_inst[category],0),1),""),$B$153,""),"&lt;&lt;max_hourly_rate&gt;&gt;",TEXT(IFERROR(INDEX(salaries_other_inst[Max hourly rate],MATCH(INDEX(pers_other_inst_2021[Scale],A488),salaries_other_inst[category],0),1),""),"€ #"))</f>
        <v>#REF!</v>
      </c>
      <c r="F488" s="113" t="str">
        <f>IFERROR(IF(AND(INDEX(pers_other_inst_2021[Amount],A488)&lt;&gt;"",INDEX(pers_other_inst_2021[Months],A488)=0),$B$155,""),"")</f>
        <v/>
      </c>
      <c r="G488" s="113" t="str">
        <f>IFERROR(IF(12*INDEX(pers_other_inst_2021[Total '# hrs],A488)/INDEX(pers_other_inst_2021[Months],A488)&gt;pers_other_nrhours_year,checks!$A$156,""),"")</f>
        <v/>
      </c>
      <c r="H488" t="e">
        <f>IF(AND(organisation_type="yes",INDEX(pers_other_inst_2021[Amount],A384,1)&lt;&gt;"",ISBLANK(INDEX(pers_other_inst_2021[Organisation type],A384,1))),$B$146,"")</f>
        <v>#REF!</v>
      </c>
      <c r="I488" t="e">
        <f>IF(AND(organisation_name="yes",INDEX(pers_other_inst_2021[Amount],A488,1)&lt;&gt;"",ISBLANK(INDEX(pers_other_inst_2021[Name organisation],A488,1))),$B$147,"")</f>
        <v>#REF!</v>
      </c>
    </row>
    <row r="489" spans="1:9" hidden="1" outlineLevel="1" x14ac:dyDescent="0.35">
      <c r="A489" s="113">
        <v>74</v>
      </c>
      <c r="B489" s="113" t="str">
        <f t="array" ref="B489">IFERROR(INDEX(personnel_other_inst_21[[#This Row],[Empty lines]:[Name organisation]],1,MATCH(TRUE,LEN(personnel_other_inst_21[[#This Row],[Empty lines]:[Name organisation]])&gt;0,0)),"")</f>
        <v/>
      </c>
      <c r="C489" s="113" t="str">
        <f>IFERROR(IF(AND(LEN(INDEX(pers_other_inst_2021[Description],A489))+LEN(INDEX(pers_other_inst_2021[Scale],A489))+LEN(INDEX(pers_other_inst_2021[Hourly rate],A489))+LEN(INDEX(pers_other_inst_2021[Total '# hrs],A489))+LEN(INDEX(pers_other_inst_2021[Months],A489))&gt;0,LEN(INDEX(pers_other_inst_2021[Description],A489-1))++LEN(INDEX(pers_other_inst_2021[Scale],A489-1))+LEN(INDEX(pers_other_inst_2021[Hourly rate],A489-1))+LEN(INDEX(pers_other_inst_2021[Total '# hrs],A489-1))+LEN(INDEX(pers_other_inst_2021[Months],A489-1))=0),$B$127,""),"")</f>
        <v/>
      </c>
      <c r="D489" s="113" t="str">
        <f>IFERROR(IF(AND(INDEX(pers_other_inst_2021[Description],A489)="",OR(INDEX(pers_other_inst_2021[Total '# hrs],A489)&gt;0,INDEX(pers_other_inst_2021[Months],A489)&gt;0,INDEX(pers_other_inst_2021[Hourly rate],A489)&gt;0)),$B$154,""),"")</f>
        <v/>
      </c>
      <c r="E489" s="113" t="e">
        <f>SUBSTITUTE(IF(INDEX(pers_other_inst_2021[Hourly rate],A489)&gt;IFERROR(INDEX(salaries_other_inst[Max hourly rate],MATCH(INDEX(pers_other_inst_2021[Scale],A489),salaries_other_inst[category],0),1),""),$B$153,""),"&lt;&lt;max_hourly_rate&gt;&gt;",TEXT(IFERROR(INDEX(salaries_other_inst[Max hourly rate],MATCH(INDEX(pers_other_inst_2021[Scale],A489),salaries_other_inst[category],0),1),""),"€ #"))</f>
        <v>#REF!</v>
      </c>
      <c r="F489" s="113" t="str">
        <f>IFERROR(IF(AND(INDEX(pers_other_inst_2021[Amount],A489)&lt;&gt;"",INDEX(pers_other_inst_2021[Months],A489)=0),$B$155,""),"")</f>
        <v/>
      </c>
      <c r="G489" s="113" t="str">
        <f>IFERROR(IF(12*INDEX(pers_other_inst_2021[Total '# hrs],A489)/INDEX(pers_other_inst_2021[Months],A489)&gt;pers_other_nrhours_year,checks!$A$156,""),"")</f>
        <v/>
      </c>
      <c r="H489" t="e">
        <f>IF(AND(organisation_type="yes",INDEX(pers_other_inst_2021[Amount],A385,1)&lt;&gt;"",ISBLANK(INDEX(pers_other_inst_2021[Organisation type],A385,1))),$B$146,"")</f>
        <v>#REF!</v>
      </c>
      <c r="I489" t="e">
        <f>IF(AND(organisation_name="yes",INDEX(pers_other_inst_2021[Amount],A489,1)&lt;&gt;"",ISBLANK(INDEX(pers_other_inst_2021[Name organisation],A489,1))),$B$147,"")</f>
        <v>#REF!</v>
      </c>
    </row>
    <row r="490" spans="1:9" hidden="1" outlineLevel="1" x14ac:dyDescent="0.35">
      <c r="A490" s="113">
        <v>75</v>
      </c>
      <c r="B490" s="113" t="str">
        <f t="array" ref="B490">IFERROR(INDEX(personnel_other_inst_21[[#This Row],[Empty lines]:[Name organisation]],1,MATCH(TRUE,LEN(personnel_other_inst_21[[#This Row],[Empty lines]:[Name organisation]])&gt;0,0)),"")</f>
        <v/>
      </c>
      <c r="C490" s="113" t="str">
        <f>IFERROR(IF(AND(LEN(INDEX(pers_other_inst_2021[Description],A490))+LEN(INDEX(pers_other_inst_2021[Scale],A490))+LEN(INDEX(pers_other_inst_2021[Hourly rate],A490))+LEN(INDEX(pers_other_inst_2021[Total '# hrs],A490))+LEN(INDEX(pers_other_inst_2021[Months],A490))&gt;0,LEN(INDEX(pers_other_inst_2021[Description],A490-1))++LEN(INDEX(pers_other_inst_2021[Scale],A490-1))+LEN(INDEX(pers_other_inst_2021[Hourly rate],A490-1))+LEN(INDEX(pers_other_inst_2021[Total '# hrs],A490-1))+LEN(INDEX(pers_other_inst_2021[Months],A490-1))=0),$B$127,""),"")</f>
        <v/>
      </c>
      <c r="D490" s="113" t="str">
        <f>IFERROR(IF(AND(INDEX(pers_other_inst_2021[Description],A490)="",OR(INDEX(pers_other_inst_2021[Total '# hrs],A490)&gt;0,INDEX(pers_other_inst_2021[Months],A490)&gt;0,INDEX(pers_other_inst_2021[Hourly rate],A490)&gt;0)),$B$154,""),"")</f>
        <v/>
      </c>
      <c r="E490" s="113" t="e">
        <f>SUBSTITUTE(IF(INDEX(pers_other_inst_2021[Hourly rate],A490)&gt;IFERROR(INDEX(salaries_other_inst[Max hourly rate],MATCH(INDEX(pers_other_inst_2021[Scale],A490),salaries_other_inst[category],0),1),""),$B$153,""),"&lt;&lt;max_hourly_rate&gt;&gt;",TEXT(IFERROR(INDEX(salaries_other_inst[Max hourly rate],MATCH(INDEX(pers_other_inst_2021[Scale],A490),salaries_other_inst[category],0),1),""),"€ #"))</f>
        <v>#REF!</v>
      </c>
      <c r="F490" s="113" t="str">
        <f>IFERROR(IF(AND(INDEX(pers_other_inst_2021[Amount],A490)&lt;&gt;"",INDEX(pers_other_inst_2021[Months],A490)=0),$B$155,""),"")</f>
        <v/>
      </c>
      <c r="G490" s="113" t="str">
        <f>IFERROR(IF(12*INDEX(pers_other_inst_2021[Total '# hrs],A490)/INDEX(pers_other_inst_2021[Months],A490)&gt;pers_other_nrhours_year,checks!$A$156,""),"")</f>
        <v/>
      </c>
      <c r="H490" t="e">
        <f>IF(AND(organisation_type="yes",INDEX(pers_other_inst_2021[Amount],A386,1)&lt;&gt;"",ISBLANK(INDEX(pers_other_inst_2021[Organisation type],A386,1))),$B$146,"")</f>
        <v>#REF!</v>
      </c>
      <c r="I490" t="e">
        <f>IF(AND(organisation_name="yes",INDEX(pers_other_inst_2021[Amount],A490,1)&lt;&gt;"",ISBLANK(INDEX(pers_other_inst_2021[Name organisation],A490,1))),$B$147,"")</f>
        <v>#REF!</v>
      </c>
    </row>
    <row r="491" spans="1:9" hidden="1" outlineLevel="1" x14ac:dyDescent="0.35">
      <c r="A491" s="113">
        <v>76</v>
      </c>
      <c r="B491" s="113" t="str">
        <f t="array" ref="B491">IFERROR(INDEX(personnel_other_inst_21[[#This Row],[Empty lines]:[Name organisation]],1,MATCH(TRUE,LEN(personnel_other_inst_21[[#This Row],[Empty lines]:[Name organisation]])&gt;0,0)),"")</f>
        <v/>
      </c>
      <c r="C491" s="113" t="str">
        <f>IFERROR(IF(AND(LEN(INDEX(pers_other_inst_2021[Description],A491))+LEN(INDEX(pers_other_inst_2021[Scale],A491))+LEN(INDEX(pers_other_inst_2021[Hourly rate],A491))+LEN(INDEX(pers_other_inst_2021[Total '# hrs],A491))+LEN(INDEX(pers_other_inst_2021[Months],A491))&gt;0,LEN(INDEX(pers_other_inst_2021[Description],A491-1))++LEN(INDEX(pers_other_inst_2021[Scale],A491-1))+LEN(INDEX(pers_other_inst_2021[Hourly rate],A491-1))+LEN(INDEX(pers_other_inst_2021[Total '# hrs],A491-1))+LEN(INDEX(pers_other_inst_2021[Months],A491-1))=0),$B$127,""),"")</f>
        <v/>
      </c>
      <c r="D491" s="113" t="str">
        <f>IFERROR(IF(AND(INDEX(pers_other_inst_2021[Description],A491)="",OR(INDEX(pers_other_inst_2021[Total '# hrs],A491)&gt;0,INDEX(pers_other_inst_2021[Months],A491)&gt;0,INDEX(pers_other_inst_2021[Hourly rate],A491)&gt;0)),$B$154,""),"")</f>
        <v/>
      </c>
      <c r="E491" s="113" t="e">
        <f>SUBSTITUTE(IF(INDEX(pers_other_inst_2021[Hourly rate],A491)&gt;IFERROR(INDEX(salaries_other_inst[Max hourly rate],MATCH(INDEX(pers_other_inst_2021[Scale],A491),salaries_other_inst[category],0),1),""),$B$153,""),"&lt;&lt;max_hourly_rate&gt;&gt;",TEXT(IFERROR(INDEX(salaries_other_inst[Max hourly rate],MATCH(INDEX(pers_other_inst_2021[Scale],A491),salaries_other_inst[category],0),1),""),"€ #"))</f>
        <v>#REF!</v>
      </c>
      <c r="F491" s="113" t="str">
        <f>IFERROR(IF(AND(INDEX(pers_other_inst_2021[Amount],A491)&lt;&gt;"",INDEX(pers_other_inst_2021[Months],A491)=0),$B$155,""),"")</f>
        <v/>
      </c>
      <c r="G491" s="113" t="str">
        <f>IFERROR(IF(12*INDEX(pers_other_inst_2021[Total '# hrs],A491)/INDEX(pers_other_inst_2021[Months],A491)&gt;pers_other_nrhours_year,checks!$A$156,""),"")</f>
        <v/>
      </c>
      <c r="H491" t="e">
        <f>IF(AND(organisation_type="yes",INDEX(pers_other_inst_2021[Amount],A387,1)&lt;&gt;"",ISBLANK(INDEX(pers_other_inst_2021[Organisation type],A387,1))),$B$146,"")</f>
        <v>#REF!</v>
      </c>
      <c r="I491" t="e">
        <f>IF(AND(organisation_name="yes",INDEX(pers_other_inst_2021[Amount],A491,1)&lt;&gt;"",ISBLANK(INDEX(pers_other_inst_2021[Name organisation],A491,1))),$B$147,"")</f>
        <v>#REF!</v>
      </c>
    </row>
    <row r="492" spans="1:9" hidden="1" outlineLevel="1" x14ac:dyDescent="0.35">
      <c r="A492" s="113">
        <v>77</v>
      </c>
      <c r="B492" s="113" t="str">
        <f t="array" ref="B492">IFERROR(INDEX(personnel_other_inst_21[[#This Row],[Empty lines]:[Name organisation]],1,MATCH(TRUE,LEN(personnel_other_inst_21[[#This Row],[Empty lines]:[Name organisation]])&gt;0,0)),"")</f>
        <v/>
      </c>
      <c r="C492" s="113" t="str">
        <f>IFERROR(IF(AND(LEN(INDEX(pers_other_inst_2021[Description],A492))+LEN(INDEX(pers_other_inst_2021[Scale],A492))+LEN(INDEX(pers_other_inst_2021[Hourly rate],A492))+LEN(INDEX(pers_other_inst_2021[Total '# hrs],A492))+LEN(INDEX(pers_other_inst_2021[Months],A492))&gt;0,LEN(INDEX(pers_other_inst_2021[Description],A492-1))++LEN(INDEX(pers_other_inst_2021[Scale],A492-1))+LEN(INDEX(pers_other_inst_2021[Hourly rate],A492-1))+LEN(INDEX(pers_other_inst_2021[Total '# hrs],A492-1))+LEN(INDEX(pers_other_inst_2021[Months],A492-1))=0),$B$127,""),"")</f>
        <v/>
      </c>
      <c r="D492" s="113" t="str">
        <f>IFERROR(IF(AND(INDEX(pers_other_inst_2021[Description],A492)="",OR(INDEX(pers_other_inst_2021[Total '# hrs],A492)&gt;0,INDEX(pers_other_inst_2021[Months],A492)&gt;0,INDEX(pers_other_inst_2021[Hourly rate],A492)&gt;0)),$B$154,""),"")</f>
        <v/>
      </c>
      <c r="E492" s="113" t="e">
        <f>SUBSTITUTE(IF(INDEX(pers_other_inst_2021[Hourly rate],A492)&gt;IFERROR(INDEX(salaries_other_inst[Max hourly rate],MATCH(INDEX(pers_other_inst_2021[Scale],A492),salaries_other_inst[category],0),1),""),$B$153,""),"&lt;&lt;max_hourly_rate&gt;&gt;",TEXT(IFERROR(INDEX(salaries_other_inst[Max hourly rate],MATCH(INDEX(pers_other_inst_2021[Scale],A492),salaries_other_inst[category],0),1),""),"€ #"))</f>
        <v>#REF!</v>
      </c>
      <c r="F492" s="113" t="str">
        <f>IFERROR(IF(AND(INDEX(pers_other_inst_2021[Amount],A492)&lt;&gt;"",INDEX(pers_other_inst_2021[Months],A492)=0),$B$155,""),"")</f>
        <v/>
      </c>
      <c r="G492" s="113" t="str">
        <f>IFERROR(IF(12*INDEX(pers_other_inst_2021[Total '# hrs],A492)/INDEX(pers_other_inst_2021[Months],A492)&gt;pers_other_nrhours_year,checks!$A$156,""),"")</f>
        <v/>
      </c>
      <c r="H492" t="e">
        <f>IF(AND(organisation_type="yes",INDEX(pers_other_inst_2021[Amount],A388,1)&lt;&gt;"",ISBLANK(INDEX(pers_other_inst_2021[Organisation type],A388,1))),$B$146,"")</f>
        <v>#REF!</v>
      </c>
      <c r="I492" t="e">
        <f>IF(AND(organisation_name="yes",INDEX(pers_other_inst_2021[Amount],A492,1)&lt;&gt;"",ISBLANK(INDEX(pers_other_inst_2021[Name organisation],A492,1))),$B$147,"")</f>
        <v>#REF!</v>
      </c>
    </row>
    <row r="493" spans="1:9" hidden="1" outlineLevel="1" x14ac:dyDescent="0.35">
      <c r="A493" s="113">
        <v>78</v>
      </c>
      <c r="B493" s="113" t="str">
        <f t="array" ref="B493">IFERROR(INDEX(personnel_other_inst_21[[#This Row],[Empty lines]:[Name organisation]],1,MATCH(TRUE,LEN(personnel_other_inst_21[[#This Row],[Empty lines]:[Name organisation]])&gt;0,0)),"")</f>
        <v/>
      </c>
      <c r="C493" s="113" t="str">
        <f>IFERROR(IF(AND(LEN(INDEX(pers_other_inst_2021[Description],A493))+LEN(INDEX(pers_other_inst_2021[Scale],A493))+LEN(INDEX(pers_other_inst_2021[Hourly rate],A493))+LEN(INDEX(pers_other_inst_2021[Total '# hrs],A493))+LEN(INDEX(pers_other_inst_2021[Months],A493))&gt;0,LEN(INDEX(pers_other_inst_2021[Description],A493-1))++LEN(INDEX(pers_other_inst_2021[Scale],A493-1))+LEN(INDEX(pers_other_inst_2021[Hourly rate],A493-1))+LEN(INDEX(pers_other_inst_2021[Total '# hrs],A493-1))+LEN(INDEX(pers_other_inst_2021[Months],A493-1))=0),$B$127,""),"")</f>
        <v/>
      </c>
      <c r="D493" s="113" t="str">
        <f>IFERROR(IF(AND(INDEX(pers_other_inst_2021[Description],A493)="",OR(INDEX(pers_other_inst_2021[Total '# hrs],A493)&gt;0,INDEX(pers_other_inst_2021[Months],A493)&gt;0,INDEX(pers_other_inst_2021[Hourly rate],A493)&gt;0)),$B$154,""),"")</f>
        <v/>
      </c>
      <c r="E493" s="113" t="e">
        <f>SUBSTITUTE(IF(INDEX(pers_other_inst_2021[Hourly rate],A493)&gt;IFERROR(INDEX(salaries_other_inst[Max hourly rate],MATCH(INDEX(pers_other_inst_2021[Scale],A493),salaries_other_inst[category],0),1),""),$B$153,""),"&lt;&lt;max_hourly_rate&gt;&gt;",TEXT(IFERROR(INDEX(salaries_other_inst[Max hourly rate],MATCH(INDEX(pers_other_inst_2021[Scale],A493),salaries_other_inst[category],0),1),""),"€ #"))</f>
        <v>#REF!</v>
      </c>
      <c r="F493" s="113" t="str">
        <f>IFERROR(IF(AND(INDEX(pers_other_inst_2021[Amount],A493)&lt;&gt;"",INDEX(pers_other_inst_2021[Months],A493)=0),$B$155,""),"")</f>
        <v/>
      </c>
      <c r="G493" s="113" t="str">
        <f>IFERROR(IF(12*INDEX(pers_other_inst_2021[Total '# hrs],A493)/INDEX(pers_other_inst_2021[Months],A493)&gt;pers_other_nrhours_year,checks!$A$156,""),"")</f>
        <v/>
      </c>
      <c r="H493" t="e">
        <f>IF(AND(organisation_type="yes",INDEX(pers_other_inst_2021[Amount],A389,1)&lt;&gt;"",ISBLANK(INDEX(pers_other_inst_2021[Organisation type],A389,1))),$B$146,"")</f>
        <v>#REF!</v>
      </c>
      <c r="I493" t="e">
        <f>IF(AND(organisation_name="yes",INDEX(pers_other_inst_2021[Amount],A493,1)&lt;&gt;"",ISBLANK(INDEX(pers_other_inst_2021[Name organisation],A493,1))),$B$147,"")</f>
        <v>#REF!</v>
      </c>
    </row>
    <row r="494" spans="1:9" hidden="1" outlineLevel="1" x14ac:dyDescent="0.35">
      <c r="A494" s="113">
        <v>79</v>
      </c>
      <c r="B494" s="113" t="str">
        <f t="array" ref="B494">IFERROR(INDEX(personnel_other_inst_21[[#This Row],[Empty lines]:[Name organisation]],1,MATCH(TRUE,LEN(personnel_other_inst_21[[#This Row],[Empty lines]:[Name organisation]])&gt;0,0)),"")</f>
        <v/>
      </c>
      <c r="C494" s="113" t="str">
        <f>IFERROR(IF(AND(LEN(INDEX(pers_other_inst_2021[Description],A494))+LEN(INDEX(pers_other_inst_2021[Scale],A494))+LEN(INDEX(pers_other_inst_2021[Hourly rate],A494))+LEN(INDEX(pers_other_inst_2021[Total '# hrs],A494))+LEN(INDEX(pers_other_inst_2021[Months],A494))&gt;0,LEN(INDEX(pers_other_inst_2021[Description],A494-1))++LEN(INDEX(pers_other_inst_2021[Scale],A494-1))+LEN(INDEX(pers_other_inst_2021[Hourly rate],A494-1))+LEN(INDEX(pers_other_inst_2021[Total '# hrs],A494-1))+LEN(INDEX(pers_other_inst_2021[Months],A494-1))=0),$B$127,""),"")</f>
        <v/>
      </c>
      <c r="D494" s="113" t="str">
        <f>IFERROR(IF(AND(INDEX(pers_other_inst_2021[Description],A494)="",OR(INDEX(pers_other_inst_2021[Total '# hrs],A494)&gt;0,INDEX(pers_other_inst_2021[Months],A494)&gt;0,INDEX(pers_other_inst_2021[Hourly rate],A494)&gt;0)),$B$154,""),"")</f>
        <v/>
      </c>
      <c r="E494" s="113" t="e">
        <f>SUBSTITUTE(IF(INDEX(pers_other_inst_2021[Hourly rate],A494)&gt;IFERROR(INDEX(salaries_other_inst[Max hourly rate],MATCH(INDEX(pers_other_inst_2021[Scale],A494),salaries_other_inst[category],0),1),""),$B$153,""),"&lt;&lt;max_hourly_rate&gt;&gt;",TEXT(IFERROR(INDEX(salaries_other_inst[Max hourly rate],MATCH(INDEX(pers_other_inst_2021[Scale],A494),salaries_other_inst[category],0),1),""),"€ #"))</f>
        <v>#REF!</v>
      </c>
      <c r="F494" s="113" t="str">
        <f>IFERROR(IF(AND(INDEX(pers_other_inst_2021[Amount],A494)&lt;&gt;"",INDEX(pers_other_inst_2021[Months],A494)=0),$B$155,""),"")</f>
        <v/>
      </c>
      <c r="G494" s="113" t="str">
        <f>IFERROR(IF(12*INDEX(pers_other_inst_2021[Total '# hrs],A494)/INDEX(pers_other_inst_2021[Months],A494)&gt;pers_other_nrhours_year,checks!$A$156,""),"")</f>
        <v/>
      </c>
      <c r="H494" t="e">
        <f>IF(AND(organisation_type="yes",INDEX(pers_other_inst_2021[Amount],A390,1)&lt;&gt;"",ISBLANK(INDEX(pers_other_inst_2021[Organisation type],A390,1))),$B$146,"")</f>
        <v>#REF!</v>
      </c>
      <c r="I494" t="e">
        <f>IF(AND(organisation_name="yes",INDEX(pers_other_inst_2021[Amount],A494,1)&lt;&gt;"",ISBLANK(INDEX(pers_other_inst_2021[Name organisation],A494,1))),$B$147,"")</f>
        <v>#REF!</v>
      </c>
    </row>
    <row r="495" spans="1:9" hidden="1" outlineLevel="1" x14ac:dyDescent="0.35">
      <c r="A495" s="113">
        <v>80</v>
      </c>
      <c r="B495" s="113" t="str">
        <f t="array" ref="B495">IFERROR(INDEX(personnel_other_inst_21[[#This Row],[Empty lines]:[Name organisation]],1,MATCH(TRUE,LEN(personnel_other_inst_21[[#This Row],[Empty lines]:[Name organisation]])&gt;0,0)),"")</f>
        <v/>
      </c>
      <c r="C495" s="113" t="str">
        <f>IFERROR(IF(AND(LEN(INDEX(pers_other_inst_2021[Description],A495))+LEN(INDEX(pers_other_inst_2021[Scale],A495))+LEN(INDEX(pers_other_inst_2021[Hourly rate],A495))+LEN(INDEX(pers_other_inst_2021[Total '# hrs],A495))+LEN(INDEX(pers_other_inst_2021[Months],A495))&gt;0,LEN(INDEX(pers_other_inst_2021[Description],A495-1))++LEN(INDEX(pers_other_inst_2021[Scale],A495-1))+LEN(INDEX(pers_other_inst_2021[Hourly rate],A495-1))+LEN(INDEX(pers_other_inst_2021[Total '# hrs],A495-1))+LEN(INDEX(pers_other_inst_2021[Months],A495-1))=0),$B$127,""),"")</f>
        <v/>
      </c>
      <c r="D495" s="113" t="str">
        <f>IFERROR(IF(AND(INDEX(pers_other_inst_2021[Description],A495)="",OR(INDEX(pers_other_inst_2021[Total '# hrs],A495)&gt;0,INDEX(pers_other_inst_2021[Months],A495)&gt;0,INDEX(pers_other_inst_2021[Hourly rate],A495)&gt;0)),$B$154,""),"")</f>
        <v/>
      </c>
      <c r="E495" s="113" t="e">
        <f>SUBSTITUTE(IF(INDEX(pers_other_inst_2021[Hourly rate],A495)&gt;IFERROR(INDEX(salaries_other_inst[Max hourly rate],MATCH(INDEX(pers_other_inst_2021[Scale],A495),salaries_other_inst[category],0),1),""),$B$153,""),"&lt;&lt;max_hourly_rate&gt;&gt;",TEXT(IFERROR(INDEX(salaries_other_inst[Max hourly rate],MATCH(INDEX(pers_other_inst_2021[Scale],A495),salaries_other_inst[category],0),1),""),"€ #"))</f>
        <v>#REF!</v>
      </c>
      <c r="F495" s="113" t="str">
        <f>IFERROR(IF(AND(INDEX(pers_other_inst_2021[Amount],A495)&lt;&gt;"",INDEX(pers_other_inst_2021[Months],A495)=0),$B$155,""),"")</f>
        <v/>
      </c>
      <c r="G495" s="113" t="str">
        <f>IFERROR(IF(12*INDEX(pers_other_inst_2021[Total '# hrs],A495)/INDEX(pers_other_inst_2021[Months],A495)&gt;pers_other_nrhours_year,checks!$A$156,""),"")</f>
        <v/>
      </c>
      <c r="H495" t="e">
        <f>IF(AND(organisation_type="yes",INDEX(pers_other_inst_2021[Amount],A391,1)&lt;&gt;"",ISBLANK(INDEX(pers_other_inst_2021[Organisation type],A391,1))),$B$146,"")</f>
        <v>#REF!</v>
      </c>
      <c r="I495" t="e">
        <f>IF(AND(organisation_name="yes",INDEX(pers_other_inst_2021[Amount],A495,1)&lt;&gt;"",ISBLANK(INDEX(pers_other_inst_2021[Name organisation],A495,1))),$B$147,"")</f>
        <v>#REF!</v>
      </c>
    </row>
    <row r="496" spans="1:9" hidden="1" outlineLevel="1" x14ac:dyDescent="0.35">
      <c r="A496" s="113">
        <v>81</v>
      </c>
      <c r="B496" s="113" t="str">
        <f t="array" ref="B496">IFERROR(INDEX(personnel_other_inst_21[[#This Row],[Empty lines]:[Name organisation]],1,MATCH(TRUE,LEN(personnel_other_inst_21[[#This Row],[Empty lines]:[Name organisation]])&gt;0,0)),"")</f>
        <v/>
      </c>
      <c r="C496" s="113" t="str">
        <f>IFERROR(IF(AND(LEN(INDEX(pers_other_inst_2021[Description],A496))+LEN(INDEX(pers_other_inst_2021[Scale],A496))+LEN(INDEX(pers_other_inst_2021[Hourly rate],A496))+LEN(INDEX(pers_other_inst_2021[Total '# hrs],A496))+LEN(INDEX(pers_other_inst_2021[Months],A496))&gt;0,LEN(INDEX(pers_other_inst_2021[Description],A496-1))++LEN(INDEX(pers_other_inst_2021[Scale],A496-1))+LEN(INDEX(pers_other_inst_2021[Hourly rate],A496-1))+LEN(INDEX(pers_other_inst_2021[Total '# hrs],A496-1))+LEN(INDEX(pers_other_inst_2021[Months],A496-1))=0),$B$127,""),"")</f>
        <v/>
      </c>
      <c r="D496" s="113" t="str">
        <f>IFERROR(IF(AND(INDEX(pers_other_inst_2021[Description],A496)="",OR(INDEX(pers_other_inst_2021[Total '# hrs],A496)&gt;0,INDEX(pers_other_inst_2021[Months],A496)&gt;0,INDEX(pers_other_inst_2021[Hourly rate],A496)&gt;0)),$B$154,""),"")</f>
        <v/>
      </c>
      <c r="E496" s="113" t="e">
        <f>SUBSTITUTE(IF(INDEX(pers_other_inst_2021[Hourly rate],A496)&gt;IFERROR(INDEX(salaries_other_inst[Max hourly rate],MATCH(INDEX(pers_other_inst_2021[Scale],A496),salaries_other_inst[category],0),1),""),$B$153,""),"&lt;&lt;max_hourly_rate&gt;&gt;",TEXT(IFERROR(INDEX(salaries_other_inst[Max hourly rate],MATCH(INDEX(pers_other_inst_2021[Scale],A496),salaries_other_inst[category],0),1),""),"€ #"))</f>
        <v>#REF!</v>
      </c>
      <c r="F496" s="113" t="str">
        <f>IFERROR(IF(AND(INDEX(pers_other_inst_2021[Amount],A496)&lt;&gt;"",INDEX(pers_other_inst_2021[Months],A496)=0),$B$155,""),"")</f>
        <v/>
      </c>
      <c r="G496" s="113" t="str">
        <f>IFERROR(IF(12*INDEX(pers_other_inst_2021[Total '# hrs],A496)/INDEX(pers_other_inst_2021[Months],A496)&gt;pers_other_nrhours_year,checks!$A$156,""),"")</f>
        <v/>
      </c>
      <c r="H496" t="e">
        <f>IF(AND(organisation_type="yes",INDEX(pers_other_inst_2021[Amount],A392,1)&lt;&gt;"",ISBLANK(INDEX(pers_other_inst_2021[Organisation type],A392,1))),$B$146,"")</f>
        <v>#REF!</v>
      </c>
      <c r="I496" t="e">
        <f>IF(AND(organisation_name="yes",INDEX(pers_other_inst_2021[Amount],A496,1)&lt;&gt;"",ISBLANK(INDEX(pers_other_inst_2021[Name organisation],A496,1))),$B$147,"")</f>
        <v>#REF!</v>
      </c>
    </row>
    <row r="497" spans="1:9" hidden="1" outlineLevel="1" x14ac:dyDescent="0.35">
      <c r="A497" s="113">
        <v>82</v>
      </c>
      <c r="B497" s="113" t="str">
        <f t="array" ref="B497">IFERROR(INDEX(personnel_other_inst_21[[#This Row],[Empty lines]:[Name organisation]],1,MATCH(TRUE,LEN(personnel_other_inst_21[[#This Row],[Empty lines]:[Name organisation]])&gt;0,0)),"")</f>
        <v/>
      </c>
      <c r="C497" s="113" t="str">
        <f>IFERROR(IF(AND(LEN(INDEX(pers_other_inst_2021[Description],A497))+LEN(INDEX(pers_other_inst_2021[Scale],A497))+LEN(INDEX(pers_other_inst_2021[Hourly rate],A497))+LEN(INDEX(pers_other_inst_2021[Total '# hrs],A497))+LEN(INDEX(pers_other_inst_2021[Months],A497))&gt;0,LEN(INDEX(pers_other_inst_2021[Description],A497-1))++LEN(INDEX(pers_other_inst_2021[Scale],A497-1))+LEN(INDEX(pers_other_inst_2021[Hourly rate],A497-1))+LEN(INDEX(pers_other_inst_2021[Total '# hrs],A497-1))+LEN(INDEX(pers_other_inst_2021[Months],A497-1))=0),$B$127,""),"")</f>
        <v/>
      </c>
      <c r="D497" s="113" t="str">
        <f>IFERROR(IF(AND(INDEX(pers_other_inst_2021[Description],A497)="",OR(INDEX(pers_other_inst_2021[Total '# hrs],A497)&gt;0,INDEX(pers_other_inst_2021[Months],A497)&gt;0,INDEX(pers_other_inst_2021[Hourly rate],A497)&gt;0)),$B$154,""),"")</f>
        <v/>
      </c>
      <c r="E497" s="113" t="e">
        <f>SUBSTITUTE(IF(INDEX(pers_other_inst_2021[Hourly rate],A497)&gt;IFERROR(INDEX(salaries_other_inst[Max hourly rate],MATCH(INDEX(pers_other_inst_2021[Scale],A497),salaries_other_inst[category],0),1),""),$B$153,""),"&lt;&lt;max_hourly_rate&gt;&gt;",TEXT(IFERROR(INDEX(salaries_other_inst[Max hourly rate],MATCH(INDEX(pers_other_inst_2021[Scale],A497),salaries_other_inst[category],0),1),""),"€ #"))</f>
        <v>#REF!</v>
      </c>
      <c r="F497" s="113" t="str">
        <f>IFERROR(IF(AND(INDEX(pers_other_inst_2021[Amount],A497)&lt;&gt;"",INDEX(pers_other_inst_2021[Months],A497)=0),$B$155,""),"")</f>
        <v/>
      </c>
      <c r="G497" s="113" t="str">
        <f>IFERROR(IF(12*INDEX(pers_other_inst_2021[Total '# hrs],A497)/INDEX(pers_other_inst_2021[Months],A497)&gt;pers_other_nrhours_year,checks!$A$156,""),"")</f>
        <v/>
      </c>
      <c r="H497" t="e">
        <f>IF(AND(organisation_type="yes",INDEX(pers_other_inst_2021[Amount],A393,1)&lt;&gt;"",ISBLANK(INDEX(pers_other_inst_2021[Organisation type],A393,1))),$B$146,"")</f>
        <v>#REF!</v>
      </c>
      <c r="I497" t="e">
        <f>IF(AND(organisation_name="yes",INDEX(pers_other_inst_2021[Amount],A497,1)&lt;&gt;"",ISBLANK(INDEX(pers_other_inst_2021[Name organisation],A497,1))),$B$147,"")</f>
        <v>#REF!</v>
      </c>
    </row>
    <row r="498" spans="1:9" hidden="1" outlineLevel="1" x14ac:dyDescent="0.35">
      <c r="A498" s="113">
        <v>83</v>
      </c>
      <c r="B498" s="113" t="str">
        <f t="array" ref="B498">IFERROR(INDEX(personnel_other_inst_21[[#This Row],[Empty lines]:[Name organisation]],1,MATCH(TRUE,LEN(personnel_other_inst_21[[#This Row],[Empty lines]:[Name organisation]])&gt;0,0)),"")</f>
        <v/>
      </c>
      <c r="C498" s="113" t="str">
        <f>IFERROR(IF(AND(LEN(INDEX(pers_other_inst_2021[Description],A498))+LEN(INDEX(pers_other_inst_2021[Scale],A498))+LEN(INDEX(pers_other_inst_2021[Hourly rate],A498))+LEN(INDEX(pers_other_inst_2021[Total '# hrs],A498))+LEN(INDEX(pers_other_inst_2021[Months],A498))&gt;0,LEN(INDEX(pers_other_inst_2021[Description],A498-1))++LEN(INDEX(pers_other_inst_2021[Scale],A498-1))+LEN(INDEX(pers_other_inst_2021[Hourly rate],A498-1))+LEN(INDEX(pers_other_inst_2021[Total '# hrs],A498-1))+LEN(INDEX(pers_other_inst_2021[Months],A498-1))=0),$B$127,""),"")</f>
        <v/>
      </c>
      <c r="D498" s="113" t="str">
        <f>IFERROR(IF(AND(INDEX(pers_other_inst_2021[Description],A498)="",OR(INDEX(pers_other_inst_2021[Total '# hrs],A498)&gt;0,INDEX(pers_other_inst_2021[Months],A498)&gt;0,INDEX(pers_other_inst_2021[Hourly rate],A498)&gt;0)),$B$154,""),"")</f>
        <v/>
      </c>
      <c r="E498" s="113" t="e">
        <f>SUBSTITUTE(IF(INDEX(pers_other_inst_2021[Hourly rate],A498)&gt;IFERROR(INDEX(salaries_other_inst[Max hourly rate],MATCH(INDEX(pers_other_inst_2021[Scale],A498),salaries_other_inst[category],0),1),""),$B$153,""),"&lt;&lt;max_hourly_rate&gt;&gt;",TEXT(IFERROR(INDEX(salaries_other_inst[Max hourly rate],MATCH(INDEX(pers_other_inst_2021[Scale],A498),salaries_other_inst[category],0),1),""),"€ #"))</f>
        <v>#REF!</v>
      </c>
      <c r="F498" s="113" t="str">
        <f>IFERROR(IF(AND(INDEX(pers_other_inst_2021[Amount],A498)&lt;&gt;"",INDEX(pers_other_inst_2021[Months],A498)=0),$B$155,""),"")</f>
        <v/>
      </c>
      <c r="G498" s="113" t="str">
        <f>IFERROR(IF(12*INDEX(pers_other_inst_2021[Total '# hrs],A498)/INDEX(pers_other_inst_2021[Months],A498)&gt;pers_other_nrhours_year,checks!$A$156,""),"")</f>
        <v/>
      </c>
      <c r="H498" t="e">
        <f>IF(AND(organisation_type="yes",INDEX(pers_other_inst_2021[Amount],A394,1)&lt;&gt;"",ISBLANK(INDEX(pers_other_inst_2021[Organisation type],A394,1))),$B$146,"")</f>
        <v>#REF!</v>
      </c>
      <c r="I498" t="e">
        <f>IF(AND(organisation_name="yes",INDEX(pers_other_inst_2021[Amount],A498,1)&lt;&gt;"",ISBLANK(INDEX(pers_other_inst_2021[Name organisation],A498,1))),$B$147,"")</f>
        <v>#REF!</v>
      </c>
    </row>
    <row r="499" spans="1:9" hidden="1" outlineLevel="1" x14ac:dyDescent="0.35">
      <c r="A499" s="113">
        <v>84</v>
      </c>
      <c r="B499" s="113" t="str">
        <f t="array" ref="B499">IFERROR(INDEX(personnel_other_inst_21[[#This Row],[Empty lines]:[Name organisation]],1,MATCH(TRUE,LEN(personnel_other_inst_21[[#This Row],[Empty lines]:[Name organisation]])&gt;0,0)),"")</f>
        <v/>
      </c>
      <c r="C499" s="113" t="str">
        <f>IFERROR(IF(AND(LEN(INDEX(pers_other_inst_2021[Description],A499))+LEN(INDEX(pers_other_inst_2021[Scale],A499))+LEN(INDEX(pers_other_inst_2021[Hourly rate],A499))+LEN(INDEX(pers_other_inst_2021[Total '# hrs],A499))+LEN(INDEX(pers_other_inst_2021[Months],A499))&gt;0,LEN(INDEX(pers_other_inst_2021[Description],A499-1))++LEN(INDEX(pers_other_inst_2021[Scale],A499-1))+LEN(INDEX(pers_other_inst_2021[Hourly rate],A499-1))+LEN(INDEX(pers_other_inst_2021[Total '# hrs],A499-1))+LEN(INDEX(pers_other_inst_2021[Months],A499-1))=0),$B$127,""),"")</f>
        <v/>
      </c>
      <c r="D499" s="113" t="str">
        <f>IFERROR(IF(AND(INDEX(pers_other_inst_2021[Description],A499)="",OR(INDEX(pers_other_inst_2021[Total '# hrs],A499)&gt;0,INDEX(pers_other_inst_2021[Months],A499)&gt;0,INDEX(pers_other_inst_2021[Hourly rate],A499)&gt;0)),$B$154,""),"")</f>
        <v/>
      </c>
      <c r="E499" s="113" t="e">
        <f>SUBSTITUTE(IF(INDEX(pers_other_inst_2021[Hourly rate],A499)&gt;IFERROR(INDEX(salaries_other_inst[Max hourly rate],MATCH(INDEX(pers_other_inst_2021[Scale],A499),salaries_other_inst[category],0),1),""),$B$153,""),"&lt;&lt;max_hourly_rate&gt;&gt;",TEXT(IFERROR(INDEX(salaries_other_inst[Max hourly rate],MATCH(INDEX(pers_other_inst_2021[Scale],A499),salaries_other_inst[category],0),1),""),"€ #"))</f>
        <v>#REF!</v>
      </c>
      <c r="F499" s="113" t="str">
        <f>IFERROR(IF(AND(INDEX(pers_other_inst_2021[Amount],A499)&lt;&gt;"",INDEX(pers_other_inst_2021[Months],A499)=0),$B$155,""),"")</f>
        <v/>
      </c>
      <c r="G499" s="113" t="str">
        <f>IFERROR(IF(12*INDEX(pers_other_inst_2021[Total '# hrs],A499)/INDEX(pers_other_inst_2021[Months],A499)&gt;pers_other_nrhours_year,checks!$A$156,""),"")</f>
        <v/>
      </c>
      <c r="H499" t="e">
        <f>IF(AND(organisation_type="yes",INDEX(pers_other_inst_2021[Amount],A395,1)&lt;&gt;"",ISBLANK(INDEX(pers_other_inst_2021[Organisation type],A395,1))),$B$146,"")</f>
        <v>#REF!</v>
      </c>
      <c r="I499" t="e">
        <f>IF(AND(organisation_name="yes",INDEX(pers_other_inst_2021[Amount],A499,1)&lt;&gt;"",ISBLANK(INDEX(pers_other_inst_2021[Name organisation],A499,1))),$B$147,"")</f>
        <v>#REF!</v>
      </c>
    </row>
    <row r="500" spans="1:9" hidden="1" outlineLevel="1" x14ac:dyDescent="0.35">
      <c r="A500" s="113">
        <v>85</v>
      </c>
      <c r="B500" s="113" t="str">
        <f t="array" ref="B500">IFERROR(INDEX(personnel_other_inst_21[[#This Row],[Empty lines]:[Name organisation]],1,MATCH(TRUE,LEN(personnel_other_inst_21[[#This Row],[Empty lines]:[Name organisation]])&gt;0,0)),"")</f>
        <v/>
      </c>
      <c r="C500" s="113" t="str">
        <f>IFERROR(IF(AND(LEN(INDEX(pers_other_inst_2021[Description],A500))+LEN(INDEX(pers_other_inst_2021[Scale],A500))+LEN(INDEX(pers_other_inst_2021[Hourly rate],A500))+LEN(INDEX(pers_other_inst_2021[Total '# hrs],A500))+LEN(INDEX(pers_other_inst_2021[Months],A500))&gt;0,LEN(INDEX(pers_other_inst_2021[Description],A500-1))++LEN(INDEX(pers_other_inst_2021[Scale],A500-1))+LEN(INDEX(pers_other_inst_2021[Hourly rate],A500-1))+LEN(INDEX(pers_other_inst_2021[Total '# hrs],A500-1))+LEN(INDEX(pers_other_inst_2021[Months],A500-1))=0),$B$127,""),"")</f>
        <v/>
      </c>
      <c r="D500" s="113" t="str">
        <f>IFERROR(IF(AND(INDEX(pers_other_inst_2021[Description],A500)="",OR(INDEX(pers_other_inst_2021[Total '# hrs],A500)&gt;0,INDEX(pers_other_inst_2021[Months],A500)&gt;0,INDEX(pers_other_inst_2021[Hourly rate],A500)&gt;0)),$B$154,""),"")</f>
        <v/>
      </c>
      <c r="E500" s="113" t="e">
        <f>SUBSTITUTE(IF(INDEX(pers_other_inst_2021[Hourly rate],A500)&gt;IFERROR(INDEX(salaries_other_inst[Max hourly rate],MATCH(INDEX(pers_other_inst_2021[Scale],A500),salaries_other_inst[category],0),1),""),$B$153,""),"&lt;&lt;max_hourly_rate&gt;&gt;",TEXT(IFERROR(INDEX(salaries_other_inst[Max hourly rate],MATCH(INDEX(pers_other_inst_2021[Scale],A500),salaries_other_inst[category],0),1),""),"€ #"))</f>
        <v>#REF!</v>
      </c>
      <c r="F500" s="113" t="str">
        <f>IFERROR(IF(AND(INDEX(pers_other_inst_2021[Amount],A500)&lt;&gt;"",INDEX(pers_other_inst_2021[Months],A500)=0),$B$155,""),"")</f>
        <v/>
      </c>
      <c r="G500" s="113" t="str">
        <f>IFERROR(IF(12*INDEX(pers_other_inst_2021[Total '# hrs],A500)/INDEX(pers_other_inst_2021[Months],A500)&gt;pers_other_nrhours_year,checks!$A$156,""),"")</f>
        <v/>
      </c>
      <c r="H500" t="e">
        <f>IF(AND(organisation_type="yes",INDEX(pers_other_inst_2021[Amount],A396,1)&lt;&gt;"",ISBLANK(INDEX(pers_other_inst_2021[Organisation type],A396,1))),$B$146,"")</f>
        <v>#REF!</v>
      </c>
      <c r="I500" t="e">
        <f>IF(AND(organisation_name="yes",INDEX(pers_other_inst_2021[Amount],A500,1)&lt;&gt;"",ISBLANK(INDEX(pers_other_inst_2021[Name organisation],A500,1))),$B$147,"")</f>
        <v>#REF!</v>
      </c>
    </row>
    <row r="501" spans="1:9" hidden="1" outlineLevel="1" x14ac:dyDescent="0.35">
      <c r="A501" s="113">
        <v>86</v>
      </c>
      <c r="B501" s="113" t="str">
        <f t="array" ref="B501">IFERROR(INDEX(personnel_other_inst_21[[#This Row],[Empty lines]:[Name organisation]],1,MATCH(TRUE,LEN(personnel_other_inst_21[[#This Row],[Empty lines]:[Name organisation]])&gt;0,0)),"")</f>
        <v/>
      </c>
      <c r="C501" s="113" t="str">
        <f>IFERROR(IF(AND(LEN(INDEX(pers_other_inst_2021[Description],A501))+LEN(INDEX(pers_other_inst_2021[Scale],A501))+LEN(INDEX(pers_other_inst_2021[Hourly rate],A501))+LEN(INDEX(pers_other_inst_2021[Total '# hrs],A501))+LEN(INDEX(pers_other_inst_2021[Months],A501))&gt;0,LEN(INDEX(pers_other_inst_2021[Description],A501-1))++LEN(INDEX(pers_other_inst_2021[Scale],A501-1))+LEN(INDEX(pers_other_inst_2021[Hourly rate],A501-1))+LEN(INDEX(pers_other_inst_2021[Total '# hrs],A501-1))+LEN(INDEX(pers_other_inst_2021[Months],A501-1))=0),$B$127,""),"")</f>
        <v/>
      </c>
      <c r="D501" s="113" t="str">
        <f>IFERROR(IF(AND(INDEX(pers_other_inst_2021[Description],A501)="",OR(INDEX(pers_other_inst_2021[Total '# hrs],A501)&gt;0,INDEX(pers_other_inst_2021[Months],A501)&gt;0,INDEX(pers_other_inst_2021[Hourly rate],A501)&gt;0)),$B$154,""),"")</f>
        <v/>
      </c>
      <c r="E501" s="113" t="e">
        <f>SUBSTITUTE(IF(INDEX(pers_other_inst_2021[Hourly rate],A501)&gt;IFERROR(INDEX(salaries_other_inst[Max hourly rate],MATCH(INDEX(pers_other_inst_2021[Scale],A501),salaries_other_inst[category],0),1),""),$B$153,""),"&lt;&lt;max_hourly_rate&gt;&gt;",TEXT(IFERROR(INDEX(salaries_other_inst[Max hourly rate],MATCH(INDEX(pers_other_inst_2021[Scale],A501),salaries_other_inst[category],0),1),""),"€ #"))</f>
        <v>#REF!</v>
      </c>
      <c r="F501" s="113" t="str">
        <f>IFERROR(IF(AND(INDEX(pers_other_inst_2021[Amount],A501)&lt;&gt;"",INDEX(pers_other_inst_2021[Months],A501)=0),$B$155,""),"")</f>
        <v/>
      </c>
      <c r="G501" s="113" t="str">
        <f>IFERROR(IF(12*INDEX(pers_other_inst_2021[Total '# hrs],A501)/INDEX(pers_other_inst_2021[Months],A501)&gt;pers_other_nrhours_year,checks!$A$156,""),"")</f>
        <v/>
      </c>
      <c r="H501" t="e">
        <f>IF(AND(organisation_type="yes",INDEX(pers_other_inst_2021[Amount],A397,1)&lt;&gt;"",ISBLANK(INDEX(pers_other_inst_2021[Organisation type],A397,1))),$B$146,"")</f>
        <v>#REF!</v>
      </c>
      <c r="I501" t="e">
        <f>IF(AND(organisation_name="yes",INDEX(pers_other_inst_2021[Amount],A501,1)&lt;&gt;"",ISBLANK(INDEX(pers_other_inst_2021[Name organisation],A501,1))),$B$147,"")</f>
        <v>#REF!</v>
      </c>
    </row>
    <row r="502" spans="1:9" hidden="1" outlineLevel="1" x14ac:dyDescent="0.35">
      <c r="A502" s="113">
        <v>87</v>
      </c>
      <c r="B502" s="113" t="str">
        <f t="array" ref="B502">IFERROR(INDEX(personnel_other_inst_21[[#This Row],[Empty lines]:[Name organisation]],1,MATCH(TRUE,LEN(personnel_other_inst_21[[#This Row],[Empty lines]:[Name organisation]])&gt;0,0)),"")</f>
        <v/>
      </c>
      <c r="C502" s="113" t="str">
        <f>IFERROR(IF(AND(LEN(INDEX(pers_other_inst_2021[Description],A502))+LEN(INDEX(pers_other_inst_2021[Scale],A502))+LEN(INDEX(pers_other_inst_2021[Hourly rate],A502))+LEN(INDEX(pers_other_inst_2021[Total '# hrs],A502))+LEN(INDEX(pers_other_inst_2021[Months],A502))&gt;0,LEN(INDEX(pers_other_inst_2021[Description],A502-1))++LEN(INDEX(pers_other_inst_2021[Scale],A502-1))+LEN(INDEX(pers_other_inst_2021[Hourly rate],A502-1))+LEN(INDEX(pers_other_inst_2021[Total '# hrs],A502-1))+LEN(INDEX(pers_other_inst_2021[Months],A502-1))=0),$B$127,""),"")</f>
        <v/>
      </c>
      <c r="D502" s="113" t="str">
        <f>IFERROR(IF(AND(INDEX(pers_other_inst_2021[Description],A502)="",OR(INDEX(pers_other_inst_2021[Total '# hrs],A502)&gt;0,INDEX(pers_other_inst_2021[Months],A502)&gt;0,INDEX(pers_other_inst_2021[Hourly rate],A502)&gt;0)),$B$154,""),"")</f>
        <v/>
      </c>
      <c r="E502" s="113" t="e">
        <f>SUBSTITUTE(IF(INDEX(pers_other_inst_2021[Hourly rate],A502)&gt;IFERROR(INDEX(salaries_other_inst[Max hourly rate],MATCH(INDEX(pers_other_inst_2021[Scale],A502),salaries_other_inst[category],0),1),""),$B$153,""),"&lt;&lt;max_hourly_rate&gt;&gt;",TEXT(IFERROR(INDEX(salaries_other_inst[Max hourly rate],MATCH(INDEX(pers_other_inst_2021[Scale],A502),salaries_other_inst[category],0),1),""),"€ #"))</f>
        <v>#REF!</v>
      </c>
      <c r="F502" s="113" t="str">
        <f>IFERROR(IF(AND(INDEX(pers_other_inst_2021[Amount],A502)&lt;&gt;"",INDEX(pers_other_inst_2021[Months],A502)=0),$B$155,""),"")</f>
        <v/>
      </c>
      <c r="G502" s="113" t="str">
        <f>IFERROR(IF(12*INDEX(pers_other_inst_2021[Total '# hrs],A502)/INDEX(pers_other_inst_2021[Months],A502)&gt;pers_other_nrhours_year,checks!$A$156,""),"")</f>
        <v/>
      </c>
      <c r="H502" t="e">
        <f>IF(AND(organisation_type="yes",INDEX(pers_other_inst_2021[Amount],A398,1)&lt;&gt;"",ISBLANK(INDEX(pers_other_inst_2021[Organisation type],A398,1))),$B$146,"")</f>
        <v>#REF!</v>
      </c>
      <c r="I502" t="e">
        <f>IF(AND(organisation_name="yes",INDEX(pers_other_inst_2021[Amount],A502,1)&lt;&gt;"",ISBLANK(INDEX(pers_other_inst_2021[Name organisation],A502,1))),$B$147,"")</f>
        <v>#REF!</v>
      </c>
    </row>
    <row r="503" spans="1:9" hidden="1" outlineLevel="1" x14ac:dyDescent="0.35">
      <c r="A503" s="113">
        <v>88</v>
      </c>
      <c r="B503" s="113" t="str">
        <f t="array" ref="B503">IFERROR(INDEX(personnel_other_inst_21[[#This Row],[Empty lines]:[Name organisation]],1,MATCH(TRUE,LEN(personnel_other_inst_21[[#This Row],[Empty lines]:[Name organisation]])&gt;0,0)),"")</f>
        <v/>
      </c>
      <c r="C503" s="113" t="str">
        <f>IFERROR(IF(AND(LEN(INDEX(pers_other_inst_2021[Description],A503))+LEN(INDEX(pers_other_inst_2021[Scale],A503))+LEN(INDEX(pers_other_inst_2021[Hourly rate],A503))+LEN(INDEX(pers_other_inst_2021[Total '# hrs],A503))+LEN(INDEX(pers_other_inst_2021[Months],A503))&gt;0,LEN(INDEX(pers_other_inst_2021[Description],A503-1))++LEN(INDEX(pers_other_inst_2021[Scale],A503-1))+LEN(INDEX(pers_other_inst_2021[Hourly rate],A503-1))+LEN(INDEX(pers_other_inst_2021[Total '# hrs],A503-1))+LEN(INDEX(pers_other_inst_2021[Months],A503-1))=0),$B$127,""),"")</f>
        <v/>
      </c>
      <c r="D503" s="113" t="str">
        <f>IFERROR(IF(AND(INDEX(pers_other_inst_2021[Description],A503)="",OR(INDEX(pers_other_inst_2021[Total '# hrs],A503)&gt;0,INDEX(pers_other_inst_2021[Months],A503)&gt;0,INDEX(pers_other_inst_2021[Hourly rate],A503)&gt;0)),$B$154,""),"")</f>
        <v/>
      </c>
      <c r="E503" s="113" t="e">
        <f>SUBSTITUTE(IF(INDEX(pers_other_inst_2021[Hourly rate],A503)&gt;IFERROR(INDEX(salaries_other_inst[Max hourly rate],MATCH(INDEX(pers_other_inst_2021[Scale],A503),salaries_other_inst[category],0),1),""),$B$153,""),"&lt;&lt;max_hourly_rate&gt;&gt;",TEXT(IFERROR(INDEX(salaries_other_inst[Max hourly rate],MATCH(INDEX(pers_other_inst_2021[Scale],A503),salaries_other_inst[category],0),1),""),"€ #"))</f>
        <v>#REF!</v>
      </c>
      <c r="F503" s="113" t="str">
        <f>IFERROR(IF(AND(INDEX(pers_other_inst_2021[Amount],A503)&lt;&gt;"",INDEX(pers_other_inst_2021[Months],A503)=0),$B$155,""),"")</f>
        <v/>
      </c>
      <c r="G503" s="113" t="str">
        <f>IFERROR(IF(12*INDEX(pers_other_inst_2021[Total '# hrs],A503)/INDEX(pers_other_inst_2021[Months],A503)&gt;pers_other_nrhours_year,checks!$A$156,""),"")</f>
        <v/>
      </c>
      <c r="H503" t="e">
        <f>IF(AND(organisation_type="yes",INDEX(pers_other_inst_2021[Amount],A399,1)&lt;&gt;"",ISBLANK(INDEX(pers_other_inst_2021[Organisation type],A399,1))),$B$146,"")</f>
        <v>#REF!</v>
      </c>
      <c r="I503" t="e">
        <f>IF(AND(organisation_name="yes",INDEX(pers_other_inst_2021[Amount],A503,1)&lt;&gt;"",ISBLANK(INDEX(pers_other_inst_2021[Name organisation],A503,1))),$B$147,"")</f>
        <v>#REF!</v>
      </c>
    </row>
    <row r="504" spans="1:9" hidden="1" outlineLevel="1" x14ac:dyDescent="0.35">
      <c r="A504" s="113">
        <v>89</v>
      </c>
      <c r="B504" s="113" t="str">
        <f t="array" ref="B504">IFERROR(INDEX(personnel_other_inst_21[[#This Row],[Empty lines]:[Name organisation]],1,MATCH(TRUE,LEN(personnel_other_inst_21[[#This Row],[Empty lines]:[Name organisation]])&gt;0,0)),"")</f>
        <v/>
      </c>
      <c r="C504" s="113" t="str">
        <f>IFERROR(IF(AND(LEN(INDEX(pers_other_inst_2021[Description],A504))+LEN(INDEX(pers_other_inst_2021[Scale],A504))+LEN(INDEX(pers_other_inst_2021[Hourly rate],A504))+LEN(INDEX(pers_other_inst_2021[Total '# hrs],A504))+LEN(INDEX(pers_other_inst_2021[Months],A504))&gt;0,LEN(INDEX(pers_other_inst_2021[Description],A504-1))++LEN(INDEX(pers_other_inst_2021[Scale],A504-1))+LEN(INDEX(pers_other_inst_2021[Hourly rate],A504-1))+LEN(INDEX(pers_other_inst_2021[Total '# hrs],A504-1))+LEN(INDEX(pers_other_inst_2021[Months],A504-1))=0),$B$127,""),"")</f>
        <v/>
      </c>
      <c r="D504" s="113" t="str">
        <f>IFERROR(IF(AND(INDEX(pers_other_inst_2021[Description],A504)="",OR(INDEX(pers_other_inst_2021[Total '# hrs],A504)&gt;0,INDEX(pers_other_inst_2021[Months],A504)&gt;0,INDEX(pers_other_inst_2021[Hourly rate],A504)&gt;0)),$B$154,""),"")</f>
        <v/>
      </c>
      <c r="E504" s="113" t="e">
        <f>SUBSTITUTE(IF(INDEX(pers_other_inst_2021[Hourly rate],A504)&gt;IFERROR(INDEX(salaries_other_inst[Max hourly rate],MATCH(INDEX(pers_other_inst_2021[Scale],A504),salaries_other_inst[category],0),1),""),$B$153,""),"&lt;&lt;max_hourly_rate&gt;&gt;",TEXT(IFERROR(INDEX(salaries_other_inst[Max hourly rate],MATCH(INDEX(pers_other_inst_2021[Scale],A504),salaries_other_inst[category],0),1),""),"€ #"))</f>
        <v>#REF!</v>
      </c>
      <c r="F504" s="113" t="str">
        <f>IFERROR(IF(AND(INDEX(pers_other_inst_2021[Amount],A504)&lt;&gt;"",INDEX(pers_other_inst_2021[Months],A504)=0),$B$155,""),"")</f>
        <v/>
      </c>
      <c r="G504" s="113" t="str">
        <f>IFERROR(IF(12*INDEX(pers_other_inst_2021[Total '# hrs],A504)/INDEX(pers_other_inst_2021[Months],A504)&gt;pers_other_nrhours_year,checks!$A$156,""),"")</f>
        <v/>
      </c>
      <c r="H504" t="e">
        <f>IF(AND(organisation_type="yes",INDEX(pers_other_inst_2021[Amount],A400,1)&lt;&gt;"",ISBLANK(INDEX(pers_other_inst_2021[Organisation type],A400,1))),$B$146,"")</f>
        <v>#REF!</v>
      </c>
      <c r="I504" t="e">
        <f>IF(AND(organisation_name="yes",INDEX(pers_other_inst_2021[Amount],A504,1)&lt;&gt;"",ISBLANK(INDEX(pers_other_inst_2021[Name organisation],A504,1))),$B$147,"")</f>
        <v>#REF!</v>
      </c>
    </row>
    <row r="505" spans="1:9" hidden="1" outlineLevel="1" x14ac:dyDescent="0.35">
      <c r="A505" s="113">
        <v>90</v>
      </c>
      <c r="B505" s="113" t="str">
        <f t="array" ref="B505">IFERROR(INDEX(personnel_other_inst_21[[#This Row],[Empty lines]:[Name organisation]],1,MATCH(TRUE,LEN(personnel_other_inst_21[[#This Row],[Empty lines]:[Name organisation]])&gt;0,0)),"")</f>
        <v/>
      </c>
      <c r="C505" s="113" t="str">
        <f>IFERROR(IF(AND(LEN(INDEX(pers_other_inst_2021[Description],A505))+LEN(INDEX(pers_other_inst_2021[Scale],A505))+LEN(INDEX(pers_other_inst_2021[Hourly rate],A505))+LEN(INDEX(pers_other_inst_2021[Total '# hrs],A505))+LEN(INDEX(pers_other_inst_2021[Months],A505))&gt;0,LEN(INDEX(pers_other_inst_2021[Description],A505-1))++LEN(INDEX(pers_other_inst_2021[Scale],A505-1))+LEN(INDEX(pers_other_inst_2021[Hourly rate],A505-1))+LEN(INDEX(pers_other_inst_2021[Total '# hrs],A505-1))+LEN(INDEX(pers_other_inst_2021[Months],A505-1))=0),$B$127,""),"")</f>
        <v/>
      </c>
      <c r="D505" s="113" t="str">
        <f>IFERROR(IF(AND(INDEX(pers_other_inst_2021[Description],A505)="",OR(INDEX(pers_other_inst_2021[Total '# hrs],A505)&gt;0,INDEX(pers_other_inst_2021[Months],A505)&gt;0,INDEX(pers_other_inst_2021[Hourly rate],A505)&gt;0)),$B$154,""),"")</f>
        <v/>
      </c>
      <c r="E505" s="113" t="e">
        <f>SUBSTITUTE(IF(INDEX(pers_other_inst_2021[Hourly rate],A505)&gt;IFERROR(INDEX(salaries_other_inst[Max hourly rate],MATCH(INDEX(pers_other_inst_2021[Scale],A505),salaries_other_inst[category],0),1),""),$B$153,""),"&lt;&lt;max_hourly_rate&gt;&gt;",TEXT(IFERROR(INDEX(salaries_other_inst[Max hourly rate],MATCH(INDEX(pers_other_inst_2021[Scale],A505),salaries_other_inst[category],0),1),""),"€ #"))</f>
        <v>#REF!</v>
      </c>
      <c r="F505" s="113" t="str">
        <f>IFERROR(IF(AND(INDEX(pers_other_inst_2021[Amount],A505)&lt;&gt;"",INDEX(pers_other_inst_2021[Months],A505)=0),$B$155,""),"")</f>
        <v/>
      </c>
      <c r="G505" s="113" t="str">
        <f>IFERROR(IF(12*INDEX(pers_other_inst_2021[Total '# hrs],A505)/INDEX(pers_other_inst_2021[Months],A505)&gt;pers_other_nrhours_year,checks!$A$156,""),"")</f>
        <v/>
      </c>
      <c r="H505" t="e">
        <f>IF(AND(organisation_type="yes",INDEX(pers_other_inst_2021[Amount],A401,1)&lt;&gt;"",ISBLANK(INDEX(pers_other_inst_2021[Organisation type],A401,1))),$B$146,"")</f>
        <v>#REF!</v>
      </c>
      <c r="I505" t="e">
        <f>IF(AND(organisation_name="yes",INDEX(pers_other_inst_2021[Amount],A505,1)&lt;&gt;"",ISBLANK(INDEX(pers_other_inst_2021[Name organisation],A505,1))),$B$147,"")</f>
        <v>#REF!</v>
      </c>
    </row>
    <row r="506" spans="1:9" hidden="1" outlineLevel="1" x14ac:dyDescent="0.35">
      <c r="A506" s="113">
        <v>91</v>
      </c>
      <c r="B506" s="113" t="str">
        <f t="array" ref="B506">IFERROR(INDEX(personnel_other_inst_21[[#This Row],[Empty lines]:[Name organisation]],1,MATCH(TRUE,LEN(personnel_other_inst_21[[#This Row],[Empty lines]:[Name organisation]])&gt;0,0)),"")</f>
        <v/>
      </c>
      <c r="C506" s="113" t="str">
        <f>IFERROR(IF(AND(LEN(INDEX(pers_other_inst_2021[Description],A506))+LEN(INDEX(pers_other_inst_2021[Scale],A506))+LEN(INDEX(pers_other_inst_2021[Hourly rate],A506))+LEN(INDEX(pers_other_inst_2021[Total '# hrs],A506))+LEN(INDEX(pers_other_inst_2021[Months],A506))&gt;0,LEN(INDEX(pers_other_inst_2021[Description],A506-1))++LEN(INDEX(pers_other_inst_2021[Scale],A506-1))+LEN(INDEX(pers_other_inst_2021[Hourly rate],A506-1))+LEN(INDEX(pers_other_inst_2021[Total '# hrs],A506-1))+LEN(INDEX(pers_other_inst_2021[Months],A506-1))=0),$B$127,""),"")</f>
        <v/>
      </c>
      <c r="D506" s="113" t="str">
        <f>IFERROR(IF(AND(INDEX(pers_other_inst_2021[Description],A506)="",OR(INDEX(pers_other_inst_2021[Total '# hrs],A506)&gt;0,INDEX(pers_other_inst_2021[Months],A506)&gt;0,INDEX(pers_other_inst_2021[Hourly rate],A506)&gt;0)),$B$154,""),"")</f>
        <v/>
      </c>
      <c r="E506" s="113" t="e">
        <f>SUBSTITUTE(IF(INDEX(pers_other_inst_2021[Hourly rate],A506)&gt;IFERROR(INDEX(salaries_other_inst[Max hourly rate],MATCH(INDEX(pers_other_inst_2021[Scale],A506),salaries_other_inst[category],0),1),""),$B$153,""),"&lt;&lt;max_hourly_rate&gt;&gt;",TEXT(IFERROR(INDEX(salaries_other_inst[Max hourly rate],MATCH(INDEX(pers_other_inst_2021[Scale],A506),salaries_other_inst[category],0),1),""),"€ #"))</f>
        <v>#REF!</v>
      </c>
      <c r="F506" s="113" t="str">
        <f>IFERROR(IF(AND(INDEX(pers_other_inst_2021[Amount],A506)&lt;&gt;"",INDEX(pers_other_inst_2021[Months],A506)=0),$B$155,""),"")</f>
        <v/>
      </c>
      <c r="G506" s="113" t="str">
        <f>IFERROR(IF(12*INDEX(pers_other_inst_2021[Total '# hrs],A506)/INDEX(pers_other_inst_2021[Months],A506)&gt;pers_other_nrhours_year,checks!$A$156,""),"")</f>
        <v/>
      </c>
      <c r="H506" t="e">
        <f>IF(AND(organisation_type="yes",INDEX(pers_other_inst_2021[Amount],A402,1)&lt;&gt;"",ISBLANK(INDEX(pers_other_inst_2021[Organisation type],A402,1))),$B$146,"")</f>
        <v>#REF!</v>
      </c>
      <c r="I506" t="e">
        <f>IF(AND(organisation_name="yes",INDEX(pers_other_inst_2021[Amount],A506,1)&lt;&gt;"",ISBLANK(INDEX(pers_other_inst_2021[Name organisation],A506,1))),$B$147,"")</f>
        <v>#REF!</v>
      </c>
    </row>
    <row r="507" spans="1:9" hidden="1" outlineLevel="1" x14ac:dyDescent="0.35">
      <c r="A507" s="113">
        <v>92</v>
      </c>
      <c r="B507" s="113" t="str">
        <f t="array" ref="B507">IFERROR(INDEX(personnel_other_inst_21[[#This Row],[Empty lines]:[Name organisation]],1,MATCH(TRUE,LEN(personnel_other_inst_21[[#This Row],[Empty lines]:[Name organisation]])&gt;0,0)),"")</f>
        <v/>
      </c>
      <c r="C507" s="113" t="str">
        <f>IFERROR(IF(AND(LEN(INDEX(pers_other_inst_2021[Description],A507))+LEN(INDEX(pers_other_inst_2021[Scale],A507))+LEN(INDEX(pers_other_inst_2021[Hourly rate],A507))+LEN(INDEX(pers_other_inst_2021[Total '# hrs],A507))+LEN(INDEX(pers_other_inst_2021[Months],A507))&gt;0,LEN(INDEX(pers_other_inst_2021[Description],A507-1))++LEN(INDEX(pers_other_inst_2021[Scale],A507-1))+LEN(INDEX(pers_other_inst_2021[Hourly rate],A507-1))+LEN(INDEX(pers_other_inst_2021[Total '# hrs],A507-1))+LEN(INDEX(pers_other_inst_2021[Months],A507-1))=0),$B$127,""),"")</f>
        <v/>
      </c>
      <c r="D507" s="113" t="str">
        <f>IFERROR(IF(AND(INDEX(pers_other_inst_2021[Description],A507)="",OR(INDEX(pers_other_inst_2021[Total '# hrs],A507)&gt;0,INDEX(pers_other_inst_2021[Months],A507)&gt;0,INDEX(pers_other_inst_2021[Hourly rate],A507)&gt;0)),$B$154,""),"")</f>
        <v/>
      </c>
      <c r="E507" s="113" t="e">
        <f>SUBSTITUTE(IF(INDEX(pers_other_inst_2021[Hourly rate],A507)&gt;IFERROR(INDEX(salaries_other_inst[Max hourly rate],MATCH(INDEX(pers_other_inst_2021[Scale],A507),salaries_other_inst[category],0),1),""),$B$153,""),"&lt;&lt;max_hourly_rate&gt;&gt;",TEXT(IFERROR(INDEX(salaries_other_inst[Max hourly rate],MATCH(INDEX(pers_other_inst_2021[Scale],A507),salaries_other_inst[category],0),1),""),"€ #"))</f>
        <v>#REF!</v>
      </c>
      <c r="F507" s="113" t="str">
        <f>IFERROR(IF(AND(INDEX(pers_other_inst_2021[Amount],A507)&lt;&gt;"",INDEX(pers_other_inst_2021[Months],A507)=0),$B$155,""),"")</f>
        <v/>
      </c>
      <c r="G507" s="113" t="str">
        <f>IFERROR(IF(12*INDEX(pers_other_inst_2021[Total '# hrs],A507)/INDEX(pers_other_inst_2021[Months],A507)&gt;pers_other_nrhours_year,checks!$A$156,""),"")</f>
        <v/>
      </c>
      <c r="H507" t="e">
        <f>IF(AND(organisation_type="yes",INDEX(pers_other_inst_2021[Amount],A403,1)&lt;&gt;"",ISBLANK(INDEX(pers_other_inst_2021[Organisation type],A403,1))),$B$146,"")</f>
        <v>#REF!</v>
      </c>
      <c r="I507" t="e">
        <f>IF(AND(organisation_name="yes",INDEX(pers_other_inst_2021[Amount],A507,1)&lt;&gt;"",ISBLANK(INDEX(pers_other_inst_2021[Name organisation],A507,1))),$B$147,"")</f>
        <v>#REF!</v>
      </c>
    </row>
    <row r="508" spans="1:9" hidden="1" outlineLevel="1" x14ac:dyDescent="0.35">
      <c r="A508" s="113">
        <v>93</v>
      </c>
      <c r="B508" s="113" t="str">
        <f t="array" ref="B508">IFERROR(INDEX(personnel_other_inst_21[[#This Row],[Empty lines]:[Name organisation]],1,MATCH(TRUE,LEN(personnel_other_inst_21[[#This Row],[Empty lines]:[Name organisation]])&gt;0,0)),"")</f>
        <v/>
      </c>
      <c r="C508" s="113" t="str">
        <f>IFERROR(IF(AND(LEN(INDEX(pers_other_inst_2021[Description],A508))+LEN(INDEX(pers_other_inst_2021[Scale],A508))+LEN(INDEX(pers_other_inst_2021[Hourly rate],A508))+LEN(INDEX(pers_other_inst_2021[Total '# hrs],A508))+LEN(INDEX(pers_other_inst_2021[Months],A508))&gt;0,LEN(INDEX(pers_other_inst_2021[Description],A508-1))++LEN(INDEX(pers_other_inst_2021[Scale],A508-1))+LEN(INDEX(pers_other_inst_2021[Hourly rate],A508-1))+LEN(INDEX(pers_other_inst_2021[Total '# hrs],A508-1))+LEN(INDEX(pers_other_inst_2021[Months],A508-1))=0),$B$127,""),"")</f>
        <v/>
      </c>
      <c r="D508" s="113" t="str">
        <f>IFERROR(IF(AND(INDEX(pers_other_inst_2021[Description],A508)="",OR(INDEX(pers_other_inst_2021[Total '# hrs],A508)&gt;0,INDEX(pers_other_inst_2021[Months],A508)&gt;0,INDEX(pers_other_inst_2021[Hourly rate],A508)&gt;0)),$B$154,""),"")</f>
        <v/>
      </c>
      <c r="E508" s="113" t="e">
        <f>SUBSTITUTE(IF(INDEX(pers_other_inst_2021[Hourly rate],A508)&gt;IFERROR(INDEX(salaries_other_inst[Max hourly rate],MATCH(INDEX(pers_other_inst_2021[Scale],A508),salaries_other_inst[category],0),1),""),$B$153,""),"&lt;&lt;max_hourly_rate&gt;&gt;",TEXT(IFERROR(INDEX(salaries_other_inst[Max hourly rate],MATCH(INDEX(pers_other_inst_2021[Scale],A508),salaries_other_inst[category],0),1),""),"€ #"))</f>
        <v>#REF!</v>
      </c>
      <c r="F508" s="113" t="str">
        <f>IFERROR(IF(AND(INDEX(pers_other_inst_2021[Amount],A508)&lt;&gt;"",INDEX(pers_other_inst_2021[Months],A508)=0),$B$155,""),"")</f>
        <v/>
      </c>
      <c r="G508" s="113" t="str">
        <f>IFERROR(IF(12*INDEX(pers_other_inst_2021[Total '# hrs],A508)/INDEX(pers_other_inst_2021[Months],A508)&gt;pers_other_nrhours_year,checks!$A$156,""),"")</f>
        <v/>
      </c>
      <c r="H508" t="e">
        <f>IF(AND(organisation_type="yes",INDEX(pers_other_inst_2021[Amount],A404,1)&lt;&gt;"",ISBLANK(INDEX(pers_other_inst_2021[Organisation type],A404,1))),$B$146,"")</f>
        <v>#REF!</v>
      </c>
      <c r="I508" t="e">
        <f>IF(AND(organisation_name="yes",INDEX(pers_other_inst_2021[Amount],A508,1)&lt;&gt;"",ISBLANK(INDEX(pers_other_inst_2021[Name organisation],A508,1))),$B$147,"")</f>
        <v>#REF!</v>
      </c>
    </row>
    <row r="509" spans="1:9" hidden="1" outlineLevel="1" x14ac:dyDescent="0.35">
      <c r="A509" s="113">
        <v>94</v>
      </c>
      <c r="B509" s="113" t="str">
        <f t="array" ref="B509">IFERROR(INDEX(personnel_other_inst_21[[#This Row],[Empty lines]:[Name organisation]],1,MATCH(TRUE,LEN(personnel_other_inst_21[[#This Row],[Empty lines]:[Name organisation]])&gt;0,0)),"")</f>
        <v/>
      </c>
      <c r="C509" s="113" t="str">
        <f>IFERROR(IF(AND(LEN(INDEX(pers_other_inst_2021[Description],A509))+LEN(INDEX(pers_other_inst_2021[Scale],A509))+LEN(INDEX(pers_other_inst_2021[Hourly rate],A509))+LEN(INDEX(pers_other_inst_2021[Total '# hrs],A509))+LEN(INDEX(pers_other_inst_2021[Months],A509))&gt;0,LEN(INDEX(pers_other_inst_2021[Description],A509-1))++LEN(INDEX(pers_other_inst_2021[Scale],A509-1))+LEN(INDEX(pers_other_inst_2021[Hourly rate],A509-1))+LEN(INDEX(pers_other_inst_2021[Total '# hrs],A509-1))+LEN(INDEX(pers_other_inst_2021[Months],A509-1))=0),$B$127,""),"")</f>
        <v/>
      </c>
      <c r="D509" s="113" t="str">
        <f>IFERROR(IF(AND(INDEX(pers_other_inst_2021[Description],A509)="",OR(INDEX(pers_other_inst_2021[Total '# hrs],A509)&gt;0,INDEX(pers_other_inst_2021[Months],A509)&gt;0,INDEX(pers_other_inst_2021[Hourly rate],A509)&gt;0)),$B$154,""),"")</f>
        <v/>
      </c>
      <c r="E509" s="113" t="e">
        <f>SUBSTITUTE(IF(INDEX(pers_other_inst_2021[Hourly rate],A509)&gt;IFERROR(INDEX(salaries_other_inst[Max hourly rate],MATCH(INDEX(pers_other_inst_2021[Scale],A509),salaries_other_inst[category],0),1),""),$B$153,""),"&lt;&lt;max_hourly_rate&gt;&gt;",TEXT(IFERROR(INDEX(salaries_other_inst[Max hourly rate],MATCH(INDEX(pers_other_inst_2021[Scale],A509),salaries_other_inst[category],0),1),""),"€ #"))</f>
        <v>#REF!</v>
      </c>
      <c r="F509" s="113" t="str">
        <f>IFERROR(IF(AND(INDEX(pers_other_inst_2021[Amount],A509)&lt;&gt;"",INDEX(pers_other_inst_2021[Months],A509)=0),$B$155,""),"")</f>
        <v/>
      </c>
      <c r="G509" s="113" t="str">
        <f>IFERROR(IF(12*INDEX(pers_other_inst_2021[Total '# hrs],A509)/INDEX(pers_other_inst_2021[Months],A509)&gt;pers_other_nrhours_year,checks!$A$156,""),"")</f>
        <v/>
      </c>
      <c r="H509" t="e">
        <f>IF(AND(organisation_type="yes",INDEX(pers_other_inst_2021[Amount],A405,1)&lt;&gt;"",ISBLANK(INDEX(pers_other_inst_2021[Organisation type],A405,1))),$B$146,"")</f>
        <v>#REF!</v>
      </c>
      <c r="I509" t="e">
        <f>IF(AND(organisation_name="yes",INDEX(pers_other_inst_2021[Amount],A509,1)&lt;&gt;"",ISBLANK(INDEX(pers_other_inst_2021[Name organisation],A509,1))),$B$147,"")</f>
        <v>#REF!</v>
      </c>
    </row>
    <row r="510" spans="1:9" hidden="1" outlineLevel="1" x14ac:dyDescent="0.35">
      <c r="A510" s="113">
        <v>95</v>
      </c>
      <c r="B510" s="113" t="str">
        <f t="array" ref="B510">IFERROR(INDEX(personnel_other_inst_21[[#This Row],[Empty lines]:[Name organisation]],1,MATCH(TRUE,LEN(personnel_other_inst_21[[#This Row],[Empty lines]:[Name organisation]])&gt;0,0)),"")</f>
        <v/>
      </c>
      <c r="C510" s="113" t="str">
        <f>IFERROR(IF(AND(LEN(INDEX(pers_other_inst_2021[Description],A510))+LEN(INDEX(pers_other_inst_2021[Scale],A510))+LEN(INDEX(pers_other_inst_2021[Hourly rate],A510))+LEN(INDEX(pers_other_inst_2021[Total '# hrs],A510))+LEN(INDEX(pers_other_inst_2021[Months],A510))&gt;0,LEN(INDEX(pers_other_inst_2021[Description],A510-1))++LEN(INDEX(pers_other_inst_2021[Scale],A510-1))+LEN(INDEX(pers_other_inst_2021[Hourly rate],A510-1))+LEN(INDEX(pers_other_inst_2021[Total '# hrs],A510-1))+LEN(INDEX(pers_other_inst_2021[Months],A510-1))=0),$B$127,""),"")</f>
        <v/>
      </c>
      <c r="D510" s="113" t="str">
        <f>IFERROR(IF(AND(INDEX(pers_other_inst_2021[Description],A510)="",OR(INDEX(pers_other_inst_2021[Total '# hrs],A510)&gt;0,INDEX(pers_other_inst_2021[Months],A510)&gt;0,INDEX(pers_other_inst_2021[Hourly rate],A510)&gt;0)),$B$154,""),"")</f>
        <v/>
      </c>
      <c r="E510" s="113" t="e">
        <f>SUBSTITUTE(IF(INDEX(pers_other_inst_2021[Hourly rate],A510)&gt;IFERROR(INDEX(salaries_other_inst[Max hourly rate],MATCH(INDEX(pers_other_inst_2021[Scale],A510),salaries_other_inst[category],0),1),""),$B$153,""),"&lt;&lt;max_hourly_rate&gt;&gt;",TEXT(IFERROR(INDEX(salaries_other_inst[Max hourly rate],MATCH(INDEX(pers_other_inst_2021[Scale],A510),salaries_other_inst[category],0),1),""),"€ #"))</f>
        <v>#REF!</v>
      </c>
      <c r="F510" s="113" t="str">
        <f>IFERROR(IF(AND(INDEX(pers_other_inst_2021[Amount],A510)&lt;&gt;"",INDEX(pers_other_inst_2021[Months],A510)=0),$B$155,""),"")</f>
        <v/>
      </c>
      <c r="G510" s="113" t="str">
        <f>IFERROR(IF(12*INDEX(pers_other_inst_2021[Total '# hrs],A510)/INDEX(pers_other_inst_2021[Months],A510)&gt;pers_other_nrhours_year,checks!$A$156,""),"")</f>
        <v/>
      </c>
      <c r="H510" t="e">
        <f>IF(AND(organisation_type="yes",INDEX(pers_other_inst_2021[Amount],A406,1)&lt;&gt;"",ISBLANK(INDEX(pers_other_inst_2021[Organisation type],A406,1))),$B$146,"")</f>
        <v>#REF!</v>
      </c>
      <c r="I510" t="e">
        <f>IF(AND(organisation_name="yes",INDEX(pers_other_inst_2021[Amount],A510,1)&lt;&gt;"",ISBLANK(INDEX(pers_other_inst_2021[Name organisation],A510,1))),$B$147,"")</f>
        <v>#REF!</v>
      </c>
    </row>
    <row r="511" spans="1:9" hidden="1" outlineLevel="1" x14ac:dyDescent="0.35">
      <c r="A511" s="113">
        <v>96</v>
      </c>
      <c r="B511" s="113" t="str">
        <f t="array" ref="B511">IFERROR(INDEX(personnel_other_inst_21[[#This Row],[Empty lines]:[Name organisation]],1,MATCH(TRUE,LEN(personnel_other_inst_21[[#This Row],[Empty lines]:[Name organisation]])&gt;0,0)),"")</f>
        <v/>
      </c>
      <c r="C511" s="113" t="str">
        <f>IFERROR(IF(AND(LEN(INDEX(pers_other_inst_2021[Description],A511))+LEN(INDEX(pers_other_inst_2021[Scale],A511))+LEN(INDEX(pers_other_inst_2021[Hourly rate],A511))+LEN(INDEX(pers_other_inst_2021[Total '# hrs],A511))+LEN(INDEX(pers_other_inst_2021[Months],A511))&gt;0,LEN(INDEX(pers_other_inst_2021[Description],A511-1))++LEN(INDEX(pers_other_inst_2021[Scale],A511-1))+LEN(INDEX(pers_other_inst_2021[Hourly rate],A511-1))+LEN(INDEX(pers_other_inst_2021[Total '# hrs],A511-1))+LEN(INDEX(pers_other_inst_2021[Months],A511-1))=0),$B$127,""),"")</f>
        <v/>
      </c>
      <c r="D511" s="113" t="str">
        <f>IFERROR(IF(AND(INDEX(pers_other_inst_2021[Description],A511)="",OR(INDEX(pers_other_inst_2021[Total '# hrs],A511)&gt;0,INDEX(pers_other_inst_2021[Months],A511)&gt;0,INDEX(pers_other_inst_2021[Hourly rate],A511)&gt;0)),$B$154,""),"")</f>
        <v/>
      </c>
      <c r="E511" s="113" t="e">
        <f>SUBSTITUTE(IF(INDEX(pers_other_inst_2021[Hourly rate],A511)&gt;IFERROR(INDEX(salaries_other_inst[Max hourly rate],MATCH(INDEX(pers_other_inst_2021[Scale],A511),salaries_other_inst[category],0),1),""),$B$153,""),"&lt;&lt;max_hourly_rate&gt;&gt;",TEXT(IFERROR(INDEX(salaries_other_inst[Max hourly rate],MATCH(INDEX(pers_other_inst_2021[Scale],A511),salaries_other_inst[category],0),1),""),"€ #"))</f>
        <v>#REF!</v>
      </c>
      <c r="F511" s="113" t="str">
        <f>IFERROR(IF(AND(INDEX(pers_other_inst_2021[Amount],A511)&lt;&gt;"",INDEX(pers_other_inst_2021[Months],A511)=0),$B$155,""),"")</f>
        <v/>
      </c>
      <c r="G511" s="113" t="str">
        <f>IFERROR(IF(12*INDEX(pers_other_inst_2021[Total '# hrs],A511)/INDEX(pers_other_inst_2021[Months],A511)&gt;pers_other_nrhours_year,checks!$A$156,""),"")</f>
        <v/>
      </c>
      <c r="H511" t="e">
        <f>IF(AND(organisation_type="yes",INDEX(pers_other_inst_2021[Amount],A407,1)&lt;&gt;"",ISBLANK(INDEX(pers_other_inst_2021[Organisation type],A407,1))),$B$146,"")</f>
        <v>#REF!</v>
      </c>
      <c r="I511" t="e">
        <f>IF(AND(organisation_name="yes",INDEX(pers_other_inst_2021[Amount],A511,1)&lt;&gt;"",ISBLANK(INDEX(pers_other_inst_2021[Name organisation],A511,1))),$B$147,"")</f>
        <v>#REF!</v>
      </c>
    </row>
    <row r="512" spans="1:9" hidden="1" outlineLevel="1" x14ac:dyDescent="0.35">
      <c r="A512" s="113">
        <v>97</v>
      </c>
      <c r="B512" s="113" t="str">
        <f t="array" ref="B512">IFERROR(INDEX(personnel_other_inst_21[[#This Row],[Empty lines]:[Name organisation]],1,MATCH(TRUE,LEN(personnel_other_inst_21[[#This Row],[Empty lines]:[Name organisation]])&gt;0,0)),"")</f>
        <v/>
      </c>
      <c r="C512" s="113" t="str">
        <f>IFERROR(IF(AND(LEN(INDEX(pers_other_inst_2021[Description],A512))+LEN(INDEX(pers_other_inst_2021[Scale],A512))+LEN(INDEX(pers_other_inst_2021[Hourly rate],A512))+LEN(INDEX(pers_other_inst_2021[Total '# hrs],A512))+LEN(INDEX(pers_other_inst_2021[Months],A512))&gt;0,LEN(INDEX(pers_other_inst_2021[Description],A512-1))++LEN(INDEX(pers_other_inst_2021[Scale],A512-1))+LEN(INDEX(pers_other_inst_2021[Hourly rate],A512-1))+LEN(INDEX(pers_other_inst_2021[Total '# hrs],A512-1))+LEN(INDEX(pers_other_inst_2021[Months],A512-1))=0),$B$127,""),"")</f>
        <v/>
      </c>
      <c r="D512" s="113" t="str">
        <f>IFERROR(IF(AND(INDEX(pers_other_inst_2021[Description],A512)="",OR(INDEX(pers_other_inst_2021[Total '# hrs],A512)&gt;0,INDEX(pers_other_inst_2021[Months],A512)&gt;0,INDEX(pers_other_inst_2021[Hourly rate],A512)&gt;0)),$B$154,""),"")</f>
        <v/>
      </c>
      <c r="E512" s="113" t="e">
        <f>SUBSTITUTE(IF(INDEX(pers_other_inst_2021[Hourly rate],A512)&gt;IFERROR(INDEX(salaries_other_inst[Max hourly rate],MATCH(INDEX(pers_other_inst_2021[Scale],A512),salaries_other_inst[category],0),1),""),$B$153,""),"&lt;&lt;max_hourly_rate&gt;&gt;",TEXT(IFERROR(INDEX(salaries_other_inst[Max hourly rate],MATCH(INDEX(pers_other_inst_2021[Scale],A512),salaries_other_inst[category],0),1),""),"€ #"))</f>
        <v>#REF!</v>
      </c>
      <c r="F512" s="113" t="str">
        <f>IFERROR(IF(AND(INDEX(pers_other_inst_2021[Amount],A512)&lt;&gt;"",INDEX(pers_other_inst_2021[Months],A512)=0),$B$155,""),"")</f>
        <v/>
      </c>
      <c r="G512" s="113" t="str">
        <f>IFERROR(IF(12*INDEX(pers_other_inst_2021[Total '# hrs],A512)/INDEX(pers_other_inst_2021[Months],A512)&gt;pers_other_nrhours_year,checks!$A$156,""),"")</f>
        <v/>
      </c>
      <c r="H512" t="e">
        <f>IF(AND(organisation_type="yes",INDEX(pers_other_inst_2021[Amount],A408,1)&lt;&gt;"",ISBLANK(INDEX(pers_other_inst_2021[Organisation type],A408,1))),$B$146,"")</f>
        <v>#REF!</v>
      </c>
      <c r="I512" t="e">
        <f>IF(AND(organisation_name="yes",INDEX(pers_other_inst_2021[Amount],A512,1)&lt;&gt;"",ISBLANK(INDEX(pers_other_inst_2021[Name organisation],A512,1))),$B$147,"")</f>
        <v>#REF!</v>
      </c>
    </row>
    <row r="513" spans="1:10" hidden="1" outlineLevel="1" x14ac:dyDescent="0.35">
      <c r="A513" s="113">
        <v>98</v>
      </c>
      <c r="B513" s="113" t="str">
        <f t="array" ref="B513">IFERROR(INDEX(personnel_other_inst_21[[#This Row],[Empty lines]:[Name organisation]],1,MATCH(TRUE,LEN(personnel_other_inst_21[[#This Row],[Empty lines]:[Name organisation]])&gt;0,0)),"")</f>
        <v/>
      </c>
      <c r="C513" s="113" t="str">
        <f>IFERROR(IF(AND(LEN(INDEX(pers_other_inst_2021[Description],A513))+LEN(INDEX(pers_other_inst_2021[Scale],A513))+LEN(INDEX(pers_other_inst_2021[Hourly rate],A513))+LEN(INDEX(pers_other_inst_2021[Total '# hrs],A513))+LEN(INDEX(pers_other_inst_2021[Months],A513))&gt;0,LEN(INDEX(pers_other_inst_2021[Description],A513-1))++LEN(INDEX(pers_other_inst_2021[Scale],A513-1))+LEN(INDEX(pers_other_inst_2021[Hourly rate],A513-1))+LEN(INDEX(pers_other_inst_2021[Total '# hrs],A513-1))+LEN(INDEX(pers_other_inst_2021[Months],A513-1))=0),$B$127,""),"")</f>
        <v/>
      </c>
      <c r="D513" s="113" t="str">
        <f>IFERROR(IF(AND(INDEX(pers_other_inst_2021[Description],A513)="",OR(INDEX(pers_other_inst_2021[Total '# hrs],A513)&gt;0,INDEX(pers_other_inst_2021[Months],A513)&gt;0,INDEX(pers_other_inst_2021[Hourly rate],A513)&gt;0)),$B$154,""),"")</f>
        <v/>
      </c>
      <c r="E513" s="113" t="e">
        <f>SUBSTITUTE(IF(INDEX(pers_other_inst_2021[Hourly rate],A513)&gt;IFERROR(INDEX(salaries_other_inst[Max hourly rate],MATCH(INDEX(pers_other_inst_2021[Scale],A513),salaries_other_inst[category],0),1),""),$B$153,""),"&lt;&lt;max_hourly_rate&gt;&gt;",TEXT(IFERROR(INDEX(salaries_other_inst[Max hourly rate],MATCH(INDEX(pers_other_inst_2021[Scale],A513),salaries_other_inst[category],0),1),""),"€ #"))</f>
        <v>#REF!</v>
      </c>
      <c r="F513" s="113" t="str">
        <f>IFERROR(IF(AND(INDEX(pers_other_inst_2021[Amount],A513)&lt;&gt;"",INDEX(pers_other_inst_2021[Months],A513)=0),$B$155,""),"")</f>
        <v/>
      </c>
      <c r="G513" s="113" t="str">
        <f>IFERROR(IF(12*INDEX(pers_other_inst_2021[Total '# hrs],A513)/INDEX(pers_other_inst_2021[Months],A513)&gt;pers_other_nrhours_year,checks!$A$156,""),"")</f>
        <v/>
      </c>
      <c r="H513" t="e">
        <f>IF(AND(organisation_type="yes",INDEX(pers_other_inst_2021[Amount],A409,1)&lt;&gt;"",ISBLANK(INDEX(pers_other_inst_2021[Organisation type],A409,1))),$B$146,"")</f>
        <v>#REF!</v>
      </c>
      <c r="I513" t="e">
        <f>IF(AND(organisation_name="yes",INDEX(pers_other_inst_2021[Amount],A513,1)&lt;&gt;"",ISBLANK(INDEX(pers_other_inst_2021[Name organisation],A513,1))),$B$147,"")</f>
        <v>#REF!</v>
      </c>
    </row>
    <row r="514" spans="1:10" hidden="1" outlineLevel="1" x14ac:dyDescent="0.35">
      <c r="A514" s="113">
        <v>99</v>
      </c>
      <c r="B514" s="113" t="str">
        <f t="array" ref="B514">IFERROR(INDEX(personnel_other_inst_21[[#This Row],[Empty lines]:[Name organisation]],1,MATCH(TRUE,LEN(personnel_other_inst_21[[#This Row],[Empty lines]:[Name organisation]])&gt;0,0)),"")</f>
        <v/>
      </c>
      <c r="C514" s="113" t="str">
        <f>IFERROR(IF(AND(LEN(INDEX(pers_other_inst_2021[Description],A514))+LEN(INDEX(pers_other_inst_2021[Scale],A514))+LEN(INDEX(pers_other_inst_2021[Hourly rate],A514))+LEN(INDEX(pers_other_inst_2021[Total '# hrs],A514))+LEN(INDEX(pers_other_inst_2021[Months],A514))&gt;0,LEN(INDEX(pers_other_inst_2021[Description],A514-1))++LEN(INDEX(pers_other_inst_2021[Scale],A514-1))+LEN(INDEX(pers_other_inst_2021[Hourly rate],A514-1))+LEN(INDEX(pers_other_inst_2021[Total '# hrs],A514-1))+LEN(INDEX(pers_other_inst_2021[Months],A514-1))=0),$B$127,""),"")</f>
        <v/>
      </c>
      <c r="D514" s="113" t="str">
        <f>IFERROR(IF(AND(INDEX(pers_other_inst_2021[Description],A514)="",OR(INDEX(pers_other_inst_2021[Total '# hrs],A514)&gt;0,INDEX(pers_other_inst_2021[Months],A514)&gt;0,INDEX(pers_other_inst_2021[Hourly rate],A514)&gt;0)),$B$154,""),"")</f>
        <v/>
      </c>
      <c r="E514" s="113" t="e">
        <f>SUBSTITUTE(IF(INDEX(pers_other_inst_2021[Hourly rate],A514)&gt;IFERROR(INDEX(salaries_other_inst[Max hourly rate],MATCH(INDEX(pers_other_inst_2021[Scale],A514),salaries_other_inst[category],0),1),""),$B$153,""),"&lt;&lt;max_hourly_rate&gt;&gt;",TEXT(IFERROR(INDEX(salaries_other_inst[Max hourly rate],MATCH(INDEX(pers_other_inst_2021[Scale],A514),salaries_other_inst[category],0),1),""),"€ #"))</f>
        <v>#REF!</v>
      </c>
      <c r="F514" s="113" t="str">
        <f>IFERROR(IF(AND(INDEX(pers_other_inst_2021[Amount],A514)&lt;&gt;"",INDEX(pers_other_inst_2021[Months],A514)=0),$B$155,""),"")</f>
        <v/>
      </c>
      <c r="G514" s="113" t="str">
        <f>IFERROR(IF(12*INDEX(pers_other_inst_2021[Total '# hrs],A514)/INDEX(pers_other_inst_2021[Months],A514)&gt;pers_other_nrhours_year,checks!$A$156,""),"")</f>
        <v/>
      </c>
      <c r="H514" t="e">
        <f>IF(AND(organisation_type="yes",INDEX(pers_other_inst_2021[Amount],A410,1)&lt;&gt;"",ISBLANK(INDEX(pers_other_inst_2021[Organisation type],A410,1))),$B$146,"")</f>
        <v>#REF!</v>
      </c>
      <c r="I514" t="e">
        <f>IF(AND(organisation_name="yes",INDEX(pers_other_inst_2021[Amount],A514,1)&lt;&gt;"",ISBLANK(INDEX(pers_other_inst_2021[Name organisation],A514,1))),$B$147,"")</f>
        <v>#REF!</v>
      </c>
    </row>
    <row r="515" spans="1:10" hidden="1" outlineLevel="1" x14ac:dyDescent="0.35">
      <c r="A515" s="113">
        <v>100</v>
      </c>
      <c r="B515" s="113" t="str">
        <f t="array" ref="B515">IFERROR(INDEX(personnel_other_inst_21[[#This Row],[Empty lines]:[Name organisation]],1,MATCH(TRUE,LEN(personnel_other_inst_21[[#This Row],[Empty lines]:[Name organisation]])&gt;0,0)),"")</f>
        <v/>
      </c>
      <c r="C515" s="113" t="str">
        <f>IFERROR(IF(AND(LEN(INDEX(pers_other_inst_2021[Description],A515))+LEN(INDEX(pers_other_inst_2021[Scale],A515))+LEN(INDEX(pers_other_inst_2021[Hourly rate],A515))+LEN(INDEX(pers_other_inst_2021[Total '# hrs],A515))+LEN(INDEX(pers_other_inst_2021[Months],A515))&gt;0,LEN(INDEX(pers_other_inst_2021[Description],A515-1))++LEN(INDEX(pers_other_inst_2021[Scale],A515-1))+LEN(INDEX(pers_other_inst_2021[Hourly rate],A515-1))+LEN(INDEX(pers_other_inst_2021[Total '# hrs],A515-1))+LEN(INDEX(pers_other_inst_2021[Months],A515-1))=0),$B$127,""),"")</f>
        <v/>
      </c>
      <c r="D515" s="113" t="str">
        <f>IFERROR(IF(AND(INDEX(pers_other_inst_2021[Description],A515)="",OR(INDEX(pers_other_inst_2021[Total '# hrs],A515)&gt;0,INDEX(pers_other_inst_2021[Months],A515)&gt;0,INDEX(pers_other_inst_2021[Hourly rate],A515)&gt;0)),$B$154,""),"")</f>
        <v/>
      </c>
      <c r="E515" s="113" t="e">
        <f>SUBSTITUTE(IF(INDEX(pers_other_inst_2021[Hourly rate],A515)&gt;IFERROR(INDEX(salaries_other_inst[Max hourly rate],MATCH(INDEX(pers_other_inst_2021[Scale],A515),salaries_other_inst[category],0),1),""),$B$153,""),"&lt;&lt;max_hourly_rate&gt;&gt;",TEXT(IFERROR(INDEX(salaries_other_inst[Max hourly rate],MATCH(INDEX(pers_other_inst_2021[Scale],A515),salaries_other_inst[category],0),1),""),"€ #"))</f>
        <v>#REF!</v>
      </c>
      <c r="F515" s="113" t="str">
        <f>IFERROR(IF(AND(INDEX(pers_other_inst_2021[Amount],A515)&lt;&gt;"",INDEX(pers_other_inst_2021[Months],A515)=0),$B$155,""),"")</f>
        <v/>
      </c>
      <c r="G515" s="113" t="str">
        <f>IFERROR(IF(12*INDEX(pers_other_inst_2021[Total '# hrs],A515)/INDEX(pers_other_inst_2021[Months],A515)&gt;pers_other_nrhours_year,checks!$A$156,""),"")</f>
        <v/>
      </c>
      <c r="H515" t="e">
        <f>IF(AND(organisation_type="yes",INDEX(pers_other_inst_2021[Amount],A411,1)&lt;&gt;"",ISBLANK(INDEX(pers_other_inst_2021[Organisation type],A411,1))),$B$146,"")</f>
        <v>#REF!</v>
      </c>
      <c r="I515" t="e">
        <f>IF(AND(organisation_name="yes",INDEX(pers_other_inst_2021[Amount],A515,1)&lt;&gt;"",ISBLANK(INDEX(pers_other_inst_2021[Name organisation],A515,1))),$B$147,"")</f>
        <v>#REF!</v>
      </c>
    </row>
    <row r="516" spans="1:10" collapsed="1" x14ac:dyDescent="0.35"/>
    <row r="518" spans="1:10" ht="18.5" x14ac:dyDescent="0.45">
      <c r="A518" s="124" t="s">
        <v>731</v>
      </c>
    </row>
    <row r="519" spans="1:10" outlineLevel="1" x14ac:dyDescent="0.35">
      <c r="A519" s="217" t="s">
        <v>563</v>
      </c>
      <c r="B519" s="217" t="s">
        <v>576</v>
      </c>
      <c r="C519" s="113" t="s">
        <v>789</v>
      </c>
      <c r="D519" s="113" t="s">
        <v>676</v>
      </c>
      <c r="E519" s="113" t="s">
        <v>736</v>
      </c>
      <c r="F519" s="113" t="s">
        <v>735</v>
      </c>
      <c r="G519" s="113" t="s">
        <v>734</v>
      </c>
      <c r="H519" s="113" t="s">
        <v>738</v>
      </c>
      <c r="I519" s="113" t="s">
        <v>742</v>
      </c>
      <c r="J519" s="113" t="s">
        <v>743</v>
      </c>
    </row>
    <row r="520" spans="1:10" outlineLevel="1" x14ac:dyDescent="0.35">
      <c r="A520" s="217">
        <v>1</v>
      </c>
      <c r="B520" s="217" t="str">
        <f t="array" ref="B520">IFERROR(INDEX(Tabel33[[#This Row],[Empty line]:[organisation name]],1,MATCH(TRUE,LEN(Tabel33[[#This Row],[Empty line]:[organisation name]])&gt;0,0)),"")</f>
        <v/>
      </c>
      <c r="C520" s="113" t="str">
        <f>IFERROR(IF(AND(LEN(INDEX(#REF!,$A520))+LEN(INDEX(#REF!,$A520))+LEN(INDEX(#REF!,$A520))+LEN(INDEX(#REF!,$A520))&gt;0,LEN(INDEX(#REF!,$A520-1))+LEN(INDEX(#REF!,$A520-1))+LEN(INDEX(#REF!,$A520-1))+LEN(INDEX(#REF!,$A520-1))=0),$B$127,""),"")</f>
        <v/>
      </c>
      <c r="D520" s="113" t="str">
        <f>IFERROR(IF(AND(INDEX(#REF!="",$A520),OR(INDEX(#REF!,$A520)&gt;0,INDEX(#REF!,$A520)&gt;0,INDEX(#REF!,$A520)&gt;0,LEN(INDEX(#REF!,$A520))&gt;0)),$B$171,""),"")</f>
        <v/>
      </c>
      <c r="E520" s="113" t="e">
        <f>IF(AND(INDEX(#REF!,A520)&lt;&gt;"",OR(INDEX(#REF!,A520)&lt;=0,INDEX(#REF!,A520)&lt;=0)),INDEX(salaries_academic[],MATCH(INDEX(#REF!,A520),salaries_academic[category],0),2),"")</f>
        <v>#REF!</v>
      </c>
      <c r="F520" s="113" t="str">
        <f>IFERROR(IF(Tabel33[[#This Row],[Instruction]]="",IF(AND(INDEX(#REF!="",A520),OR(INDEX(#REF!,A520)&lt;&gt;"",INDEX(#REF!,A520)&gt;0,INDEX(#REF!,A520)&gt;0,INDEX(#REF!,A520)&gt;0,LEN(INDEX(#REF!,A520))&gt;0)),$B$173,""),""),"")</f>
        <v/>
      </c>
      <c r="G520" s="113" t="e">
        <f>IF(AND(Tabel33[[#This Row],[Instruction]]="",Tabel33[[#This Row],[Country not specified]]=""),IF(AND(INDEX(#REF!,A520)&lt;&gt;"",INDEX(#REF!,A520)&lt;=0),IF(INDEX(salaries_academic[],MATCH(INDEX(#REF!,A520),salaries_academic[category],0),3)="",$B$172,""),""),"")</f>
        <v>#REF!</v>
      </c>
      <c r="H520" s="113" t="str">
        <f>IFERROR(IF(AND(INDEX(salaries_academic[],MATCH(INDEX(#REF!,A520),salaries_academic[category],0),3)&gt;0,INDEX(#REF!,A520)&gt;0),$B$174,""),"")</f>
        <v/>
      </c>
      <c r="I520" s="113" t="str">
        <f>IFERROR(IF(AND(organisation_type="yes",VALUE(INDEX(#REF!,A520))&gt;0,ISBLANK(INDEX(#REF!,A520))),$B$175,""),"")</f>
        <v/>
      </c>
      <c r="J520" s="113" t="str">
        <f>IFERROR(IF(AND(organisation_name="yes",VALUE(INDEX(#REF!,A520))&gt;0,ISBLANK(INDEX(#REF!,A520)),Tabel33[[#This Row],[organisation type]]=""),$B$176,""),"")</f>
        <v/>
      </c>
    </row>
    <row r="521" spans="1:10" outlineLevel="1" x14ac:dyDescent="0.35">
      <c r="A521" s="217">
        <v>2</v>
      </c>
      <c r="B521" s="217" t="str">
        <f t="array" ref="B521">IFERROR(INDEX(Tabel33[[#This Row],[Empty line]:[organisation name]],1,MATCH(TRUE,LEN(Tabel33[[#This Row],[Empty line]:[organisation name]])&gt;0,0)),"")</f>
        <v/>
      </c>
      <c r="C521" s="113" t="str">
        <f>IFERROR(IF(AND(LEN(INDEX(#REF!,$A521))+LEN(INDEX(#REF!,$A521))+LEN(INDEX(#REF!,$A521))+LEN(INDEX(#REF!,$A521))&gt;0,LEN(INDEX(#REF!,$A521-1))+LEN(INDEX(#REF!,$A521-1))+LEN(INDEX(#REF!,$A521-1))+LEN(INDEX(#REF!,$A521-1))=0),$B$127,""),"")</f>
        <v/>
      </c>
      <c r="D521" s="113" t="str">
        <f>IFERROR(IF(AND(INDEX(#REF!="",$A521),OR(INDEX(#REF!,$A521)&gt;0,INDEX(#REF!,$A521)&gt;0,INDEX(#REF!,$A521)&gt;0,LEN(INDEX(#REF!,$A521))&gt;0)),$B$171,""),"")</f>
        <v/>
      </c>
      <c r="E521" s="113" t="e">
        <f>IF(AND(INDEX(#REF!,A521)&lt;&gt;"",OR(INDEX(#REF!,A521)&lt;=0,INDEX(#REF!,A521)&lt;=0)),INDEX(salaries_academic[],MATCH(INDEX(#REF!,A521),salaries_academic[category],0),2),"")</f>
        <v>#REF!</v>
      </c>
      <c r="F521" s="113" t="str">
        <f>IFERROR(IF(Tabel33[[#This Row],[Instruction]]="",IF(AND(INDEX(#REF!="",A521),OR(INDEX(#REF!,A521)&lt;&gt;"",INDEX(#REF!,A521)&gt;0,INDEX(#REF!,A521)&gt;0,INDEX(#REF!,A521)&gt;0,LEN(INDEX(#REF!,A521))&gt;0)),$B$173,""),""),"")</f>
        <v/>
      </c>
      <c r="G521" s="113" t="e">
        <f>IF(AND(Tabel33[[#This Row],[Instruction]]="",Tabel33[[#This Row],[Country not specified]]=""),IF(AND(INDEX(#REF!,A521)&lt;&gt;"",INDEX(#REF!,A521)&lt;=0),IF(INDEX(salaries_academic[],MATCH(INDEX(#REF!,A521),salaries_academic[category],0),3)="",$B$172,""),""),"")</f>
        <v>#REF!</v>
      </c>
      <c r="H521" s="113" t="str">
        <f>IFERROR(IF(AND(INDEX(salaries_academic[],MATCH(INDEX(#REF!,A521),salaries_academic[category],0),3)&gt;0,INDEX(#REF!,A521)&gt;0),$B$174,""),"")</f>
        <v/>
      </c>
      <c r="I521" s="113" t="str">
        <f>IFERROR(IF(AND(organisation_type="yes",VALUE(INDEX(#REF!,A521))&gt;0,ISBLANK(INDEX(#REF!,A521))),$B$175,""),"")</f>
        <v/>
      </c>
      <c r="J521" s="113" t="str">
        <f>IFERROR(IF(AND(organisation_name="yes",VALUE(INDEX(#REF!,A521))&gt;0,ISBLANK(INDEX(#REF!,A521)),Tabel33[[#This Row],[organisation type]]=""),$B$176,""),"")</f>
        <v/>
      </c>
    </row>
    <row r="522" spans="1:10" outlineLevel="1" x14ac:dyDescent="0.35">
      <c r="A522" s="217">
        <v>3</v>
      </c>
      <c r="B522" s="217" t="str">
        <f t="array" ref="B522">IFERROR(INDEX(Tabel33[[#This Row],[Empty line]:[organisation name]],1,MATCH(TRUE,LEN(Tabel33[[#This Row],[Empty line]:[organisation name]])&gt;0,0)),"")</f>
        <v/>
      </c>
      <c r="C522" s="113" t="str">
        <f>IFERROR(IF(AND(LEN(INDEX(#REF!,$A522))+LEN(INDEX(#REF!,$A522))+LEN(INDEX(#REF!,$A522))+LEN(INDEX(#REF!,$A522))&gt;0,LEN(INDEX(#REF!,$A522-1))+LEN(INDEX(#REF!,$A522-1))+LEN(INDEX(#REF!,$A522-1))+LEN(INDEX(#REF!,$A522-1))=0),$B$127,""),"")</f>
        <v/>
      </c>
      <c r="D522" s="113" t="str">
        <f>IFERROR(IF(AND(INDEX(#REF!="",$A522),OR(INDEX(#REF!,$A522)&gt;0,INDEX(#REF!,$A522)&gt;0,INDEX(#REF!,$A522)&gt;0,LEN(INDEX(#REF!,$A522))&gt;0)),$B$171,""),"")</f>
        <v/>
      </c>
      <c r="E522" s="113" t="e">
        <f>IF(AND(INDEX(#REF!,A522)&lt;&gt;"",OR(INDEX(#REF!,A522)&lt;=0,INDEX(#REF!,A522)&lt;=0)),INDEX(salaries_academic[],MATCH(INDEX(#REF!,A522),salaries_academic[category],0),2),"")</f>
        <v>#REF!</v>
      </c>
      <c r="F522" s="113" t="str">
        <f>IFERROR(IF(Tabel33[[#This Row],[Instruction]]="",IF(AND(INDEX(#REF!="",A522),OR(INDEX(#REF!,A522)&lt;&gt;"",INDEX(#REF!,A522)&gt;0,INDEX(#REF!,A522)&gt;0,INDEX(#REF!,A522)&gt;0,LEN(INDEX(#REF!,A522))&gt;0)),$B$173,""),""),"")</f>
        <v/>
      </c>
      <c r="G522" s="113" t="e">
        <f>IF(AND(Tabel33[[#This Row],[Instruction]]="",Tabel33[[#This Row],[Country not specified]]=""),IF(AND(INDEX(#REF!,A522)&lt;&gt;"",INDEX(#REF!,A522)&lt;=0),IF(INDEX(salaries_academic[],MATCH(INDEX(#REF!,A522),salaries_academic[category],0),3)="",$B$172,""),""),"")</f>
        <v>#REF!</v>
      </c>
      <c r="H522" s="113" t="str">
        <f>IFERROR(IF(AND(INDEX(salaries_academic[],MATCH(INDEX(#REF!,A522),salaries_academic[category],0),3)&gt;0,INDEX(#REF!,A522)&gt;0),$B$174,""),"")</f>
        <v/>
      </c>
      <c r="I522" s="113" t="str">
        <f>IFERROR(IF(AND(organisation_type="yes",VALUE(INDEX(#REF!,A522))&gt;0,ISBLANK(INDEX(#REF!,A522))),$B$175,""),"")</f>
        <v/>
      </c>
      <c r="J522" s="113" t="str">
        <f>IFERROR(IF(AND(organisation_name="yes",VALUE(INDEX(#REF!,A522))&gt;0,ISBLANK(INDEX(#REF!,A522)),Tabel33[[#This Row],[organisation type]]=""),$B$176,""),"")</f>
        <v/>
      </c>
    </row>
    <row r="523" spans="1:10" outlineLevel="1" x14ac:dyDescent="0.35">
      <c r="A523" s="217">
        <v>4</v>
      </c>
      <c r="B523" s="217" t="str">
        <f t="array" ref="B523">IFERROR(INDEX(Tabel33[[#This Row],[Empty line]:[organisation name]],1,MATCH(TRUE,LEN(Tabel33[[#This Row],[Empty line]:[organisation name]])&gt;0,0)),"")</f>
        <v/>
      </c>
      <c r="C523" s="113" t="str">
        <f>IFERROR(IF(AND(LEN(INDEX(#REF!,$A523))+LEN(INDEX(#REF!,$A523))+LEN(INDEX(#REF!,$A523))+LEN(INDEX(#REF!,$A523))&gt;0,LEN(INDEX(#REF!,$A523-1))+LEN(INDEX(#REF!,$A523-1))+LEN(INDEX(#REF!,$A523-1))+LEN(INDEX(#REF!,$A523-1))=0),$B$127,""),"")</f>
        <v/>
      </c>
      <c r="D523" s="113" t="str">
        <f>IFERROR(IF(AND(INDEX(#REF!="",$A523),OR(INDEX(#REF!,$A523)&gt;0,INDEX(#REF!,$A523)&gt;0,INDEX(#REF!,$A523)&gt;0,LEN(INDEX(#REF!,$A523))&gt;0)),$B$171,""),"")</f>
        <v/>
      </c>
      <c r="E523" s="113" t="e">
        <f>IF(AND(INDEX(#REF!,A523)&lt;&gt;"",OR(INDEX(#REF!,A523)&lt;=0,INDEX(#REF!,A523)&lt;=0)),INDEX(salaries_academic[],MATCH(INDEX(#REF!,A523),salaries_academic[category],0),2),"")</f>
        <v>#REF!</v>
      </c>
      <c r="F523" s="113" t="str">
        <f>IFERROR(IF(Tabel33[[#This Row],[Instruction]]="",IF(AND(INDEX(#REF!="",A523),OR(INDEX(#REF!,A523)&lt;&gt;"",INDEX(#REF!,A523)&gt;0,INDEX(#REF!,A523)&gt;0,INDEX(#REF!,A523)&gt;0,LEN(INDEX(#REF!,A523))&gt;0)),$B$173,""),""),"")</f>
        <v/>
      </c>
      <c r="G523" s="113" t="e">
        <f>IF(AND(Tabel33[[#This Row],[Instruction]]="",Tabel33[[#This Row],[Country not specified]]=""),IF(AND(INDEX(#REF!,A523)&lt;&gt;"",INDEX(#REF!,A523)&lt;=0),IF(INDEX(salaries_academic[],MATCH(INDEX(#REF!,A523),salaries_academic[category],0),3)="",$B$172,""),""),"")</f>
        <v>#REF!</v>
      </c>
      <c r="H523" s="113" t="str">
        <f>IFERROR(IF(AND(INDEX(salaries_academic[],MATCH(INDEX(#REF!,A523),salaries_academic[category],0),3)&gt;0,INDEX(#REF!,A523)&gt;0),$B$174,""),"")</f>
        <v/>
      </c>
      <c r="I523" s="113" t="str">
        <f>IFERROR(IF(AND(organisation_type="yes",VALUE(INDEX(#REF!,A523))&gt;0,ISBLANK(INDEX(#REF!,A523))),$B$175,""),"")</f>
        <v/>
      </c>
      <c r="J523" s="113" t="str">
        <f>IFERROR(IF(AND(organisation_name="yes",VALUE(INDEX(#REF!,A523))&gt;0,ISBLANK(INDEX(#REF!,A523)),Tabel33[[#This Row],[organisation type]]=""),$B$176,""),"")</f>
        <v/>
      </c>
    </row>
    <row r="524" spans="1:10" outlineLevel="1" x14ac:dyDescent="0.35">
      <c r="A524" s="217">
        <v>5</v>
      </c>
      <c r="B524" s="217" t="str">
        <f t="array" ref="B524">IFERROR(INDEX(Tabel33[[#This Row],[Empty line]:[organisation name]],1,MATCH(TRUE,LEN(Tabel33[[#This Row],[Empty line]:[organisation name]])&gt;0,0)),"")</f>
        <v/>
      </c>
      <c r="C524" s="113" t="str">
        <f>IFERROR(IF(AND(LEN(INDEX(#REF!,$A524))+LEN(INDEX(#REF!,$A524))+LEN(INDEX(#REF!,$A524))+LEN(INDEX(#REF!,$A524))&gt;0,LEN(INDEX(#REF!,$A524-1))+LEN(INDEX(#REF!,$A524-1))+LEN(INDEX(#REF!,$A524-1))+LEN(INDEX(#REF!,$A524-1))=0),$B$127,""),"")</f>
        <v/>
      </c>
      <c r="D524" s="113" t="str">
        <f>IFERROR(IF(AND(INDEX(#REF!="",$A524),OR(INDEX(#REF!,$A524)&gt;0,INDEX(#REF!,$A524)&gt;0,INDEX(#REF!,$A524)&gt;0,LEN(INDEX(#REF!,$A524))&gt;0)),$B$171,""),"")</f>
        <v/>
      </c>
      <c r="E524" s="113" t="e">
        <f>IF(AND(INDEX(#REF!,A524)&lt;&gt;"",OR(INDEX(#REF!,A524)&lt;=0,INDEX(#REF!,A524)&lt;=0)),INDEX(salaries_academic[],MATCH(INDEX(#REF!,A524),salaries_academic[category],0),2),"")</f>
        <v>#REF!</v>
      </c>
      <c r="F524" s="113" t="str">
        <f>IFERROR(IF(Tabel33[[#This Row],[Instruction]]="",IF(AND(INDEX(#REF!="",A524),OR(INDEX(#REF!,A524)&lt;&gt;"",INDEX(#REF!,A524)&gt;0,INDEX(#REF!,A524)&gt;0,INDEX(#REF!,A524)&gt;0,LEN(INDEX(#REF!,A524))&gt;0)),$B$173,""),""),"")</f>
        <v/>
      </c>
      <c r="G524" s="113" t="e">
        <f>IF(AND(Tabel33[[#This Row],[Instruction]]="",Tabel33[[#This Row],[Country not specified]]=""),IF(AND(INDEX(#REF!,A524)&lt;&gt;"",INDEX(#REF!,A524)&lt;=0),IF(INDEX(salaries_academic[],MATCH(INDEX(#REF!,A524),salaries_academic[category],0),3)="",$B$172,""),""),"")</f>
        <v>#REF!</v>
      </c>
      <c r="H524" s="113" t="str">
        <f>IFERROR(IF(AND(INDEX(salaries_academic[],MATCH(INDEX(#REF!,A524),salaries_academic[category],0),3)&gt;0,INDEX(#REF!,A524)&gt;0),$B$174,""),"")</f>
        <v/>
      </c>
      <c r="I524" s="113" t="str">
        <f>IFERROR(IF(AND(organisation_type="yes",VALUE(INDEX(#REF!,A524))&gt;0,ISBLANK(INDEX(#REF!,A524))),$B$175,""),"")</f>
        <v/>
      </c>
      <c r="J524" s="113" t="str">
        <f>IFERROR(IF(AND(organisation_name="yes",VALUE(INDEX(#REF!,A524))&gt;0,ISBLANK(INDEX(#REF!,A524)),Tabel33[[#This Row],[organisation type]]=""),$B$176,""),"")</f>
        <v/>
      </c>
    </row>
    <row r="525" spans="1:10" outlineLevel="1" x14ac:dyDescent="0.35">
      <c r="A525" s="217">
        <v>6</v>
      </c>
      <c r="B525" s="217" t="str">
        <f t="array" ref="B525">IFERROR(INDEX(Tabel33[[#This Row],[Empty line]:[organisation name]],1,MATCH(TRUE,LEN(Tabel33[[#This Row],[Empty line]:[organisation name]])&gt;0,0)),"")</f>
        <v/>
      </c>
      <c r="C525" s="113" t="str">
        <f>IFERROR(IF(AND(LEN(INDEX(#REF!,$A525))+LEN(INDEX(#REF!,$A525))+LEN(INDEX(#REF!,$A525))+LEN(INDEX(#REF!,$A525))&gt;0,LEN(INDEX(#REF!,$A525-1))+LEN(INDEX(#REF!,$A525-1))+LEN(INDEX(#REF!,$A525-1))+LEN(INDEX(#REF!,$A525-1))=0),$B$127,""),"")</f>
        <v/>
      </c>
      <c r="D525" s="113" t="str">
        <f>IFERROR(IF(AND(INDEX(#REF!="",$A525),OR(INDEX(#REF!,$A525)&gt;0,INDEX(#REF!,$A525)&gt;0,INDEX(#REF!,$A525)&gt;0,LEN(INDEX(#REF!,$A525))&gt;0)),$B$171,""),"")</f>
        <v/>
      </c>
      <c r="E525" s="113" t="e">
        <f>IF(AND(INDEX(#REF!,A525)&lt;&gt;"",OR(INDEX(#REF!,A525)&lt;=0,INDEX(#REF!,A525)&lt;=0)),INDEX(salaries_academic[],MATCH(INDEX(#REF!,A525),salaries_academic[category],0),2),"")</f>
        <v>#REF!</v>
      </c>
      <c r="F525" s="113" t="str">
        <f>IFERROR(IF(Tabel33[[#This Row],[Instruction]]="",IF(AND(INDEX(#REF!="",A525),OR(INDEX(#REF!,A525)&lt;&gt;"",INDEX(#REF!,A525)&gt;0,INDEX(#REF!,A525)&gt;0,INDEX(#REF!,A525)&gt;0,LEN(INDEX(#REF!,A525))&gt;0)),$B$173,""),""),"")</f>
        <v/>
      </c>
      <c r="G525" s="113" t="e">
        <f>IF(AND(Tabel33[[#This Row],[Instruction]]="",Tabel33[[#This Row],[Country not specified]]=""),IF(AND(INDEX(#REF!,A525)&lt;&gt;"",INDEX(#REF!,A525)&lt;=0),IF(INDEX(salaries_academic[],MATCH(INDEX(#REF!,A525),salaries_academic[category],0),3)="",$B$172,""),""),"")</f>
        <v>#REF!</v>
      </c>
      <c r="H525" s="113" t="str">
        <f>IFERROR(IF(AND(INDEX(salaries_academic[],MATCH(INDEX(#REF!,A525),salaries_academic[category],0),3)&gt;0,INDEX(#REF!,A525)&gt;0),$B$174,""),"")</f>
        <v/>
      </c>
      <c r="I525" s="113" t="str">
        <f>IFERROR(IF(AND(organisation_type="yes",VALUE(INDEX(#REF!,A525))&gt;0,ISBLANK(INDEX(#REF!,A525))),$B$175,""),"")</f>
        <v/>
      </c>
      <c r="J525" s="113" t="str">
        <f>IFERROR(IF(AND(organisation_name="yes",VALUE(INDEX(#REF!,A525))&gt;0,ISBLANK(INDEX(#REF!,A525)),Tabel33[[#This Row],[organisation type]]=""),$B$176,""),"")</f>
        <v/>
      </c>
    </row>
    <row r="526" spans="1:10" outlineLevel="1" x14ac:dyDescent="0.35">
      <c r="A526" s="217">
        <v>7</v>
      </c>
      <c r="B526" s="217" t="str">
        <f t="array" ref="B526">IFERROR(INDEX(Tabel33[[#This Row],[Empty line]:[organisation name]],1,MATCH(TRUE,LEN(Tabel33[[#This Row],[Empty line]:[organisation name]])&gt;0,0)),"")</f>
        <v/>
      </c>
      <c r="C526" s="113" t="str">
        <f>IFERROR(IF(AND(LEN(INDEX(#REF!,$A526))+LEN(INDEX(#REF!,$A526))+LEN(INDEX(#REF!,$A526))+LEN(INDEX(#REF!,$A526))&gt;0,LEN(INDEX(#REF!,$A526-1))+LEN(INDEX(#REF!,$A526-1))+LEN(INDEX(#REF!,$A526-1))+LEN(INDEX(#REF!,$A526-1))=0),$B$127,""),"")</f>
        <v/>
      </c>
      <c r="D526" s="113" t="str">
        <f>IFERROR(IF(AND(INDEX(#REF!="",$A526),OR(INDEX(#REF!,$A526)&gt;0,INDEX(#REF!,$A526)&gt;0,INDEX(#REF!,$A526)&gt;0,LEN(INDEX(#REF!,$A526))&gt;0)),$B$171,""),"")</f>
        <v/>
      </c>
      <c r="E526" s="113" t="e">
        <f>IF(AND(INDEX(#REF!,A526)&lt;&gt;"",OR(INDEX(#REF!,A526)&lt;=0,INDEX(#REF!,A526)&lt;=0)),INDEX(salaries_academic[],MATCH(INDEX(#REF!,A526),salaries_academic[category],0),2),"")</f>
        <v>#REF!</v>
      </c>
      <c r="F526" s="113" t="str">
        <f>IFERROR(IF(Tabel33[[#This Row],[Instruction]]="",IF(AND(INDEX(#REF!="",A526),OR(INDEX(#REF!,A526)&lt;&gt;"",INDEX(#REF!,A526)&gt;0,INDEX(#REF!,A526)&gt;0,INDEX(#REF!,A526)&gt;0,LEN(INDEX(#REF!,A526))&gt;0)),$B$173,""),""),"")</f>
        <v/>
      </c>
      <c r="G526" s="113" t="e">
        <f>IF(AND(Tabel33[[#This Row],[Instruction]]="",Tabel33[[#This Row],[Country not specified]]=""),IF(AND(INDEX(#REF!,A526)&lt;&gt;"",INDEX(#REF!,A526)&lt;=0),IF(INDEX(salaries_academic[],MATCH(INDEX(#REF!,A526),salaries_academic[category],0),3)="",$B$172,""),""),"")</f>
        <v>#REF!</v>
      </c>
      <c r="H526" s="113" t="str">
        <f>IFERROR(IF(AND(INDEX(salaries_academic[],MATCH(INDEX(#REF!,A526),salaries_academic[category],0),3)&gt;0,INDEX(#REF!,A526)&gt;0),$B$174,""),"")</f>
        <v/>
      </c>
      <c r="I526" s="113" t="str">
        <f>IFERROR(IF(AND(organisation_type="yes",VALUE(INDEX(#REF!,A526))&gt;0,ISBLANK(INDEX(#REF!,A526))),$B$175,""),"")</f>
        <v/>
      </c>
      <c r="J526" s="113" t="str">
        <f>IFERROR(IF(AND(organisation_name="yes",VALUE(INDEX(#REF!,A526))&gt;0,ISBLANK(INDEX(#REF!,A526)),Tabel33[[#This Row],[organisation type]]=""),$B$176,""),"")</f>
        <v/>
      </c>
    </row>
    <row r="527" spans="1:10" outlineLevel="1" x14ac:dyDescent="0.35">
      <c r="A527" s="217">
        <v>8</v>
      </c>
      <c r="B527" s="217" t="str">
        <f t="array" ref="B527">IFERROR(INDEX(Tabel33[[#This Row],[Empty line]:[organisation name]],1,MATCH(TRUE,LEN(Tabel33[[#This Row],[Empty line]:[organisation name]])&gt;0,0)),"")</f>
        <v/>
      </c>
      <c r="C527" s="113" t="str">
        <f>IFERROR(IF(AND(LEN(INDEX(#REF!,$A527))+LEN(INDEX(#REF!,$A527))+LEN(INDEX(#REF!,$A527))+LEN(INDEX(#REF!,$A527))&gt;0,LEN(INDEX(#REF!,$A527-1))+LEN(INDEX(#REF!,$A527-1))+LEN(INDEX(#REF!,$A527-1))+LEN(INDEX(#REF!,$A527-1))=0),$B$127,""),"")</f>
        <v/>
      </c>
      <c r="D527" s="113" t="str">
        <f>IFERROR(IF(AND(INDEX(#REF!="",$A527),OR(INDEX(#REF!,$A527)&gt;0,INDEX(#REF!,$A527)&gt;0,INDEX(#REF!,$A527)&gt;0,LEN(INDEX(#REF!,$A527))&gt;0)),$B$171,""),"")</f>
        <v/>
      </c>
      <c r="E527" s="113" t="e">
        <f>IF(AND(INDEX(#REF!,A527)&lt;&gt;"",OR(INDEX(#REF!,A527)&lt;=0,INDEX(#REF!,A527)&lt;=0)),INDEX(salaries_academic[],MATCH(INDEX(#REF!,A527),salaries_academic[category],0),2),"")</f>
        <v>#REF!</v>
      </c>
      <c r="F527" s="113" t="str">
        <f>IFERROR(IF(Tabel33[[#This Row],[Instruction]]="",IF(AND(INDEX(#REF!="",A527),OR(INDEX(#REF!,A527)&lt;&gt;"",INDEX(#REF!,A527)&gt;0,INDEX(#REF!,A527)&gt;0,INDEX(#REF!,A527)&gt;0,LEN(INDEX(#REF!,A527))&gt;0)),$B$173,""),""),"")</f>
        <v/>
      </c>
      <c r="G527" s="113" t="e">
        <f>IF(AND(Tabel33[[#This Row],[Instruction]]="",Tabel33[[#This Row],[Country not specified]]=""),IF(AND(INDEX(#REF!,A527)&lt;&gt;"",INDEX(#REF!,A527)&lt;=0),IF(INDEX(salaries_academic[],MATCH(INDEX(#REF!,A527),salaries_academic[category],0),3)="",$B$172,""),""),"")</f>
        <v>#REF!</v>
      </c>
      <c r="H527" s="113" t="str">
        <f>IFERROR(IF(AND(INDEX(salaries_academic[],MATCH(INDEX(#REF!,A527),salaries_academic[category],0),3)&gt;0,INDEX(#REF!,A527)&gt;0),$B$174,""),"")</f>
        <v/>
      </c>
      <c r="I527" s="113" t="str">
        <f>IFERROR(IF(AND(organisation_type="yes",VALUE(INDEX(#REF!,A527))&gt;0,ISBLANK(INDEX(#REF!,A527))),$B$175,""),"")</f>
        <v/>
      </c>
      <c r="J527" s="113" t="str">
        <f>IFERROR(IF(AND(organisation_name="yes",VALUE(INDEX(#REF!,A527))&gt;0,ISBLANK(INDEX(#REF!,A527)),Tabel33[[#This Row],[organisation type]]=""),$B$176,""),"")</f>
        <v/>
      </c>
    </row>
    <row r="528" spans="1:10" outlineLevel="1" x14ac:dyDescent="0.35">
      <c r="A528" s="217">
        <v>9</v>
      </c>
      <c r="B528" s="217" t="str">
        <f t="array" ref="B528">IFERROR(INDEX(Tabel33[[#This Row],[Empty line]:[organisation name]],1,MATCH(TRUE,LEN(Tabel33[[#This Row],[Empty line]:[organisation name]])&gt;0,0)),"")</f>
        <v/>
      </c>
      <c r="C528" s="113" t="str">
        <f>IFERROR(IF(AND(LEN(INDEX(#REF!,$A528))+LEN(INDEX(#REF!,$A528))+LEN(INDEX(#REF!,$A528))+LEN(INDEX(#REF!,$A528))&gt;0,LEN(INDEX(#REF!,$A528-1))+LEN(INDEX(#REF!,$A528-1))+LEN(INDEX(#REF!,$A528-1))+LEN(INDEX(#REF!,$A528-1))=0),$B$127,""),"")</f>
        <v/>
      </c>
      <c r="D528" s="113" t="str">
        <f>IFERROR(IF(AND(INDEX(#REF!="",$A528),OR(INDEX(#REF!,$A528)&gt;0,INDEX(#REF!,$A528)&gt;0,INDEX(#REF!,$A528)&gt;0,LEN(INDEX(#REF!,$A528))&gt;0)),$B$171,""),"")</f>
        <v/>
      </c>
      <c r="E528" s="113" t="e">
        <f>IF(AND(INDEX(#REF!,A528)&lt;&gt;"",OR(INDEX(#REF!,A528)&lt;=0,INDEX(#REF!,A528)&lt;=0)),INDEX(salaries_academic[],MATCH(INDEX(#REF!,A528),salaries_academic[category],0),2),"")</f>
        <v>#REF!</v>
      </c>
      <c r="F528" s="113" t="str">
        <f>IFERROR(IF(Tabel33[[#This Row],[Instruction]]="",IF(AND(INDEX(#REF!="",A528),OR(INDEX(#REF!,A528)&lt;&gt;"",INDEX(#REF!,A528)&gt;0,INDEX(#REF!,A528)&gt;0,INDEX(#REF!,A528)&gt;0,LEN(INDEX(#REF!,A528))&gt;0)),$B$173,""),""),"")</f>
        <v/>
      </c>
      <c r="G528" s="113" t="e">
        <f>IF(AND(Tabel33[[#This Row],[Instruction]]="",Tabel33[[#This Row],[Country not specified]]=""),IF(AND(INDEX(#REF!,A528)&lt;&gt;"",INDEX(#REF!,A528)&lt;=0),IF(INDEX(salaries_academic[],MATCH(INDEX(#REF!,A528),salaries_academic[category],0),3)="",$B$172,""),""),"")</f>
        <v>#REF!</v>
      </c>
      <c r="H528" s="113" t="str">
        <f>IFERROR(IF(AND(INDEX(salaries_academic[],MATCH(INDEX(#REF!,A528),salaries_academic[category],0),3)&gt;0,INDEX(#REF!,A528)&gt;0),$B$174,""),"")</f>
        <v/>
      </c>
      <c r="I528" s="113" t="str">
        <f>IFERROR(IF(AND(organisation_type="yes",VALUE(INDEX(#REF!,A528))&gt;0,ISBLANK(INDEX(#REF!,A528))),$B$175,""),"")</f>
        <v/>
      </c>
      <c r="J528" s="113" t="str">
        <f>IFERROR(IF(AND(organisation_name="yes",VALUE(INDEX(#REF!,A528))&gt;0,ISBLANK(INDEX(#REF!,A528)),Tabel33[[#This Row],[organisation type]]=""),$B$176,""),"")</f>
        <v/>
      </c>
    </row>
    <row r="529" spans="1:10" outlineLevel="1" x14ac:dyDescent="0.35">
      <c r="A529" s="217">
        <v>10</v>
      </c>
      <c r="B529" s="217" t="str">
        <f t="array" ref="B529">IFERROR(INDEX(Tabel33[[#This Row],[Empty line]:[organisation name]],1,MATCH(TRUE,LEN(Tabel33[[#This Row],[Empty line]:[organisation name]])&gt;0,0)),"")</f>
        <v/>
      </c>
      <c r="C529" s="113" t="str">
        <f>IFERROR(IF(AND(LEN(INDEX(#REF!,$A529))+LEN(INDEX(#REF!,$A529))+LEN(INDEX(#REF!,$A529))+LEN(INDEX(#REF!,$A529))&gt;0,LEN(INDEX(#REF!,$A529-1))+LEN(INDEX(#REF!,$A529-1))+LEN(INDEX(#REF!,$A529-1))+LEN(INDEX(#REF!,$A529-1))=0),$B$127,""),"")</f>
        <v/>
      </c>
      <c r="D529" s="113" t="str">
        <f>IFERROR(IF(AND(INDEX(#REF!="",$A529),OR(INDEX(#REF!,$A529)&gt;0,INDEX(#REF!,$A529)&gt;0,INDEX(#REF!,$A529)&gt;0,LEN(INDEX(#REF!,$A529))&gt;0)),$B$171,""),"")</f>
        <v/>
      </c>
      <c r="E529" s="113" t="e">
        <f>IF(AND(INDEX(#REF!,A529)&lt;&gt;"",OR(INDEX(#REF!,A529)&lt;=0,INDEX(#REF!,A529)&lt;=0)),INDEX(salaries_academic[],MATCH(INDEX(#REF!,A529),salaries_academic[category],0),2),"")</f>
        <v>#REF!</v>
      </c>
      <c r="F529" s="113" t="str">
        <f>IFERROR(IF(Tabel33[[#This Row],[Instruction]]="",IF(AND(INDEX(#REF!="",A529),OR(INDEX(#REF!,A529)&lt;&gt;"",INDEX(#REF!,A529)&gt;0,INDEX(#REF!,A529)&gt;0,INDEX(#REF!,A529)&gt;0,LEN(INDEX(#REF!,A529))&gt;0)),$B$173,""),""),"")</f>
        <v/>
      </c>
      <c r="G529" s="113" t="e">
        <f>IF(AND(Tabel33[[#This Row],[Instruction]]="",Tabel33[[#This Row],[Country not specified]]=""),IF(AND(INDEX(#REF!,A529)&lt;&gt;"",INDEX(#REF!,A529)&lt;=0),IF(INDEX(salaries_academic[],MATCH(INDEX(#REF!,A529),salaries_academic[category],0),3)="",$B$172,""),""),"")</f>
        <v>#REF!</v>
      </c>
      <c r="H529" s="113" t="str">
        <f>IFERROR(IF(AND(INDEX(salaries_academic[],MATCH(INDEX(#REF!,A529),salaries_academic[category],0),3)&gt;0,INDEX(#REF!,A529)&gt;0),$B$174,""),"")</f>
        <v/>
      </c>
      <c r="I529" s="113" t="str">
        <f>IFERROR(IF(AND(organisation_type="yes",VALUE(INDEX(#REF!,A529))&gt;0,ISBLANK(INDEX(#REF!,A529))),$B$175,""),"")</f>
        <v/>
      </c>
      <c r="J529" s="113" t="str">
        <f>IFERROR(IF(AND(organisation_name="yes",VALUE(INDEX(#REF!,A529))&gt;0,ISBLANK(INDEX(#REF!,A529)),Tabel33[[#This Row],[organisation type]]=""),$B$176,""),"")</f>
        <v/>
      </c>
    </row>
    <row r="530" spans="1:10" outlineLevel="1" x14ac:dyDescent="0.35">
      <c r="A530" s="217">
        <v>11</v>
      </c>
      <c r="B530" s="217" t="str">
        <f t="array" ref="B530">IFERROR(INDEX(Tabel33[[#This Row],[Empty line]:[organisation name]],1,MATCH(TRUE,LEN(Tabel33[[#This Row],[Empty line]:[organisation name]])&gt;0,0)),"")</f>
        <v/>
      </c>
      <c r="C530" s="113" t="str">
        <f>IFERROR(IF(AND(LEN(INDEX(#REF!,$A530))+LEN(INDEX(#REF!,$A530))+LEN(INDEX(#REF!,$A530))+LEN(INDEX(#REF!,$A530))&gt;0,LEN(INDEX(#REF!,$A530-1))+LEN(INDEX(#REF!,$A530-1))+LEN(INDEX(#REF!,$A530-1))+LEN(INDEX(#REF!,$A530-1))=0),$B$127,""),"")</f>
        <v/>
      </c>
      <c r="D530" s="113" t="str">
        <f>IFERROR(IF(AND(INDEX(#REF!="",$A530),OR(INDEX(#REF!,$A530)&gt;0,INDEX(#REF!,$A530)&gt;0,INDEX(#REF!,$A530)&gt;0,LEN(INDEX(#REF!,$A530))&gt;0)),$B$171,""),"")</f>
        <v/>
      </c>
      <c r="E530" s="113" t="e">
        <f>IF(AND(INDEX(#REF!,A530)&lt;&gt;"",OR(INDEX(#REF!,A530)&lt;=0,INDEX(#REF!,A530)&lt;=0)),INDEX(salaries_academic[],MATCH(INDEX(#REF!,A530),salaries_academic[category],0),2),"")</f>
        <v>#REF!</v>
      </c>
      <c r="F530" s="113" t="str">
        <f>IFERROR(IF(Tabel33[[#This Row],[Instruction]]="",IF(AND(INDEX(#REF!="",A530),OR(INDEX(#REF!,A530)&lt;&gt;"",INDEX(#REF!,A530)&gt;0,INDEX(#REF!,A530)&gt;0,INDEX(#REF!,A530)&gt;0,LEN(INDEX(#REF!,A530))&gt;0)),$B$173,""),""),"")</f>
        <v/>
      </c>
      <c r="G530" s="113" t="e">
        <f>IF(AND(Tabel33[[#This Row],[Instruction]]="",Tabel33[[#This Row],[Country not specified]]=""),IF(AND(INDEX(#REF!,A530)&lt;&gt;"",INDEX(#REF!,A530)&lt;=0),IF(INDEX(salaries_academic[],MATCH(INDEX(#REF!,A530),salaries_academic[category],0),3)="",$B$172,""),""),"")</f>
        <v>#REF!</v>
      </c>
      <c r="H530" s="113" t="str">
        <f>IFERROR(IF(AND(INDEX(salaries_academic[],MATCH(INDEX(#REF!,A530),salaries_academic[category],0),3)&gt;0,INDEX(#REF!,A530)&gt;0),$B$174,""),"")</f>
        <v/>
      </c>
      <c r="I530" s="113" t="str">
        <f>IFERROR(IF(AND(organisation_type="yes",VALUE(INDEX(#REF!,A530))&gt;0,ISBLANK(INDEX(#REF!,A530))),$B$175,""),"")</f>
        <v/>
      </c>
      <c r="J530" s="113" t="str">
        <f>IFERROR(IF(AND(organisation_name="yes",VALUE(INDEX(#REF!,A530))&gt;0,ISBLANK(INDEX(#REF!,A530)),Tabel33[[#This Row],[organisation type]]=""),$B$176,""),"")</f>
        <v/>
      </c>
    </row>
    <row r="531" spans="1:10" outlineLevel="1" x14ac:dyDescent="0.35">
      <c r="A531" s="217">
        <v>12</v>
      </c>
      <c r="B531" s="217" t="str">
        <f t="array" ref="B531">IFERROR(INDEX(Tabel33[[#This Row],[Empty line]:[organisation name]],1,MATCH(TRUE,LEN(Tabel33[[#This Row],[Empty line]:[organisation name]])&gt;0,0)),"")</f>
        <v/>
      </c>
      <c r="C531" s="113" t="str">
        <f>IFERROR(IF(AND(LEN(INDEX(#REF!,$A531))+LEN(INDEX(#REF!,$A531))+LEN(INDEX(#REF!,$A531))+LEN(INDEX(#REF!,$A531))&gt;0,LEN(INDEX(#REF!,$A531-1))+LEN(INDEX(#REF!,$A531-1))+LEN(INDEX(#REF!,$A531-1))+LEN(INDEX(#REF!,$A531-1))=0),$B$127,""),"")</f>
        <v/>
      </c>
      <c r="D531" s="113" t="str">
        <f>IFERROR(IF(AND(INDEX(#REF!="",$A531),OR(INDEX(#REF!,$A531)&gt;0,INDEX(#REF!,$A531)&gt;0,INDEX(#REF!,$A531)&gt;0,LEN(INDEX(#REF!,$A531))&gt;0)),$B$171,""),"")</f>
        <v/>
      </c>
      <c r="E531" s="113" t="e">
        <f>IF(AND(INDEX(#REF!,A531)&lt;&gt;"",OR(INDEX(#REF!,A531)&lt;=0,INDEX(#REF!,A531)&lt;=0)),INDEX(salaries_academic[],MATCH(INDEX(#REF!,A531),salaries_academic[category],0),2),"")</f>
        <v>#REF!</v>
      </c>
      <c r="F531" s="113" t="str">
        <f>IFERROR(IF(Tabel33[[#This Row],[Instruction]]="",IF(AND(INDEX(#REF!="",A531),OR(INDEX(#REF!,A531)&lt;&gt;"",INDEX(#REF!,A531)&gt;0,INDEX(#REF!,A531)&gt;0,INDEX(#REF!,A531)&gt;0,LEN(INDEX(#REF!,A531))&gt;0)),$B$173,""),""),"")</f>
        <v/>
      </c>
      <c r="G531" s="113" t="e">
        <f>IF(AND(Tabel33[[#This Row],[Instruction]]="",Tabel33[[#This Row],[Country not specified]]=""),IF(AND(INDEX(#REF!,A531)&lt;&gt;"",INDEX(#REF!,A531)&lt;=0),IF(INDEX(salaries_academic[],MATCH(INDEX(#REF!,A531),salaries_academic[category],0),3)="",$B$172,""),""),"")</f>
        <v>#REF!</v>
      </c>
      <c r="H531" s="113" t="str">
        <f>IFERROR(IF(AND(INDEX(salaries_academic[],MATCH(INDEX(#REF!,A531),salaries_academic[category],0),3)&gt;0,INDEX(#REF!,A531)&gt;0),$B$174,""),"")</f>
        <v/>
      </c>
      <c r="I531" s="113" t="str">
        <f>IFERROR(IF(AND(organisation_type="yes",VALUE(INDEX(#REF!,A531))&gt;0,ISBLANK(INDEX(#REF!,A531))),$B$175,""),"")</f>
        <v/>
      </c>
      <c r="J531" s="113" t="str">
        <f>IFERROR(IF(AND(organisation_name="yes",VALUE(INDEX(#REF!,A531))&gt;0,ISBLANK(INDEX(#REF!,A531)),Tabel33[[#This Row],[organisation type]]=""),$B$176,""),"")</f>
        <v/>
      </c>
    </row>
    <row r="532" spans="1:10" outlineLevel="1" x14ac:dyDescent="0.35">
      <c r="A532" s="217">
        <v>13</v>
      </c>
      <c r="B532" s="217" t="str">
        <f t="array" ref="B532">IFERROR(INDEX(Tabel33[[#This Row],[Empty line]:[organisation name]],1,MATCH(TRUE,LEN(Tabel33[[#This Row],[Empty line]:[organisation name]])&gt;0,0)),"")</f>
        <v/>
      </c>
      <c r="C532" s="113" t="str">
        <f>IFERROR(IF(AND(LEN(INDEX(#REF!,$A532))+LEN(INDEX(#REF!,$A532))+LEN(INDEX(#REF!,$A532))+LEN(INDEX(#REF!,$A532))&gt;0,LEN(INDEX(#REF!,$A532-1))+LEN(INDEX(#REF!,$A532-1))+LEN(INDEX(#REF!,$A532-1))+LEN(INDEX(#REF!,$A532-1))=0),$B$127,""),"")</f>
        <v/>
      </c>
      <c r="D532" s="113" t="str">
        <f>IFERROR(IF(AND(INDEX(#REF!="",$A532),OR(INDEX(#REF!,$A532)&gt;0,INDEX(#REF!,$A532)&gt;0,INDEX(#REF!,$A532)&gt;0,LEN(INDEX(#REF!,$A532))&gt;0)),$B$171,""),"")</f>
        <v/>
      </c>
      <c r="E532" s="113" t="e">
        <f>IF(AND(INDEX(#REF!,A532)&lt;&gt;"",OR(INDEX(#REF!,A532)&lt;=0,INDEX(#REF!,A532)&lt;=0)),INDEX(salaries_academic[],MATCH(INDEX(#REF!,A532),salaries_academic[category],0),2),"")</f>
        <v>#REF!</v>
      </c>
      <c r="F532" s="113" t="str">
        <f>IFERROR(IF(Tabel33[[#This Row],[Instruction]]="",IF(AND(INDEX(#REF!="",A532),OR(INDEX(#REF!,A532)&lt;&gt;"",INDEX(#REF!,A532)&gt;0,INDEX(#REF!,A532)&gt;0,INDEX(#REF!,A532)&gt;0,LEN(INDEX(#REF!,A532))&gt;0)),$B$173,""),""),"")</f>
        <v/>
      </c>
      <c r="G532" s="113" t="e">
        <f>IF(AND(Tabel33[[#This Row],[Instruction]]="",Tabel33[[#This Row],[Country not specified]]=""),IF(AND(INDEX(#REF!,A532)&lt;&gt;"",INDEX(#REF!,A532)&lt;=0),IF(INDEX(salaries_academic[],MATCH(INDEX(#REF!,A532),salaries_academic[category],0),3)="",$B$172,""),""),"")</f>
        <v>#REF!</v>
      </c>
      <c r="H532" s="113" t="str">
        <f>IFERROR(IF(AND(INDEX(salaries_academic[],MATCH(INDEX(#REF!,A532),salaries_academic[category],0),3)&gt;0,INDEX(#REF!,A532)&gt;0),$B$174,""),"")</f>
        <v/>
      </c>
      <c r="I532" s="113" t="str">
        <f>IFERROR(IF(AND(organisation_type="yes",VALUE(INDEX(#REF!,A532))&gt;0,ISBLANK(INDEX(#REF!,A532))),$B$175,""),"")</f>
        <v/>
      </c>
      <c r="J532" s="113" t="str">
        <f>IFERROR(IF(AND(organisation_name="yes",VALUE(INDEX(#REF!,A532))&gt;0,ISBLANK(INDEX(#REF!,A532)),Tabel33[[#This Row],[organisation type]]=""),$B$176,""),"")</f>
        <v/>
      </c>
    </row>
    <row r="533" spans="1:10" outlineLevel="1" x14ac:dyDescent="0.35">
      <c r="A533" s="217">
        <v>14</v>
      </c>
      <c r="B533" s="217" t="str">
        <f t="array" ref="B533">IFERROR(INDEX(Tabel33[[#This Row],[Empty line]:[organisation name]],1,MATCH(TRUE,LEN(Tabel33[[#This Row],[Empty line]:[organisation name]])&gt;0,0)),"")</f>
        <v/>
      </c>
      <c r="C533" s="113" t="str">
        <f>IFERROR(IF(AND(LEN(INDEX(#REF!,$A533))+LEN(INDEX(#REF!,$A533))+LEN(INDEX(#REF!,$A533))+LEN(INDEX(#REF!,$A533))&gt;0,LEN(INDEX(#REF!,$A533-1))+LEN(INDEX(#REF!,$A533-1))+LEN(INDEX(#REF!,$A533-1))+LEN(INDEX(#REF!,$A533-1))=0),$B$127,""),"")</f>
        <v/>
      </c>
      <c r="D533" s="113" t="str">
        <f>IFERROR(IF(AND(INDEX(#REF!="",$A533),OR(INDEX(#REF!,$A533)&gt;0,INDEX(#REF!,$A533)&gt;0,INDEX(#REF!,$A533)&gt;0,LEN(INDEX(#REF!,$A533))&gt;0)),$B$171,""),"")</f>
        <v/>
      </c>
      <c r="E533" s="113" t="e">
        <f>IF(AND(INDEX(#REF!,A533)&lt;&gt;"",OR(INDEX(#REF!,A533)&lt;=0,INDEX(#REF!,A533)&lt;=0)),INDEX(salaries_academic[],MATCH(INDEX(#REF!,A533),salaries_academic[category],0),2),"")</f>
        <v>#REF!</v>
      </c>
      <c r="F533" s="113" t="str">
        <f>IFERROR(IF(Tabel33[[#This Row],[Instruction]]="",IF(AND(INDEX(#REF!="",A533),OR(INDEX(#REF!,A533)&lt;&gt;"",INDEX(#REF!,A533)&gt;0,INDEX(#REF!,A533)&gt;0,INDEX(#REF!,A533)&gt;0,LEN(INDEX(#REF!,A533))&gt;0)),$B$173,""),""),"")</f>
        <v/>
      </c>
      <c r="G533" s="113" t="e">
        <f>IF(AND(Tabel33[[#This Row],[Instruction]]="",Tabel33[[#This Row],[Country not specified]]=""),IF(AND(INDEX(#REF!,A533)&lt;&gt;"",INDEX(#REF!,A533)&lt;=0),IF(INDEX(salaries_academic[],MATCH(INDEX(#REF!,A533),salaries_academic[category],0),3)="",$B$172,""),""),"")</f>
        <v>#REF!</v>
      </c>
      <c r="H533" s="113" t="str">
        <f>IFERROR(IF(AND(INDEX(salaries_academic[],MATCH(INDEX(#REF!,A533),salaries_academic[category],0),3)&gt;0,INDEX(#REF!,A533)&gt;0),$B$174,""),"")</f>
        <v/>
      </c>
      <c r="I533" s="113" t="str">
        <f>IFERROR(IF(AND(organisation_type="yes",VALUE(INDEX(#REF!,A533))&gt;0,ISBLANK(INDEX(#REF!,A533))),$B$175,""),"")</f>
        <v/>
      </c>
      <c r="J533" s="113" t="str">
        <f>IFERROR(IF(AND(organisation_name="yes",VALUE(INDEX(#REF!,A533))&gt;0,ISBLANK(INDEX(#REF!,A533)),Tabel33[[#This Row],[organisation type]]=""),$B$176,""),"")</f>
        <v/>
      </c>
    </row>
    <row r="534" spans="1:10" outlineLevel="1" x14ac:dyDescent="0.35">
      <c r="A534" s="217">
        <v>15</v>
      </c>
      <c r="B534" s="217" t="str">
        <f t="array" ref="B534">IFERROR(INDEX(Tabel33[[#This Row],[Empty line]:[organisation name]],1,MATCH(TRUE,LEN(Tabel33[[#This Row],[Empty line]:[organisation name]])&gt;0,0)),"")</f>
        <v/>
      </c>
      <c r="C534" s="113" t="str">
        <f>IFERROR(IF(AND(LEN(INDEX(#REF!,$A534))+LEN(INDEX(#REF!,$A534))+LEN(INDEX(#REF!,$A534))+LEN(INDEX(#REF!,$A534))&gt;0,LEN(INDEX(#REF!,$A534-1))+LEN(INDEX(#REF!,$A534-1))+LEN(INDEX(#REF!,$A534-1))+LEN(INDEX(#REF!,$A534-1))=0),$B$127,""),"")</f>
        <v/>
      </c>
      <c r="D534" s="113" t="str">
        <f>IFERROR(IF(AND(INDEX(#REF!="",$A534),OR(INDEX(#REF!,$A534)&gt;0,INDEX(#REF!,$A534)&gt;0,INDEX(#REF!,$A534)&gt;0,LEN(INDEX(#REF!,$A534))&gt;0)),$B$171,""),"")</f>
        <v/>
      </c>
      <c r="E534" s="113" t="e">
        <f>IF(AND(INDEX(#REF!,A534)&lt;&gt;"",OR(INDEX(#REF!,A534)&lt;=0,INDEX(#REF!,A534)&lt;=0)),INDEX(salaries_academic[],MATCH(INDEX(#REF!,A534),salaries_academic[category],0),2),"")</f>
        <v>#REF!</v>
      </c>
      <c r="F534" s="113" t="str">
        <f>IFERROR(IF(Tabel33[[#This Row],[Instruction]]="",IF(AND(INDEX(#REF!="",A534),OR(INDEX(#REF!,A534)&lt;&gt;"",INDEX(#REF!,A534)&gt;0,INDEX(#REF!,A534)&gt;0,INDEX(#REF!,A534)&gt;0,LEN(INDEX(#REF!,A534))&gt;0)),$B$173,""),""),"")</f>
        <v/>
      </c>
      <c r="G534" s="113" t="e">
        <f>IF(AND(Tabel33[[#This Row],[Instruction]]="",Tabel33[[#This Row],[Country not specified]]=""),IF(AND(INDEX(#REF!,A534)&lt;&gt;"",INDEX(#REF!,A534)&lt;=0),IF(INDEX(salaries_academic[],MATCH(INDEX(#REF!,A534),salaries_academic[category],0),3)="",$B$172,""),""),"")</f>
        <v>#REF!</v>
      </c>
      <c r="H534" s="113" t="str">
        <f>IFERROR(IF(AND(INDEX(salaries_academic[],MATCH(INDEX(#REF!,A534),salaries_academic[category],0),3)&gt;0,INDEX(#REF!,A534)&gt;0),$B$174,""),"")</f>
        <v/>
      </c>
      <c r="I534" s="113" t="str">
        <f>IFERROR(IF(AND(organisation_type="yes",VALUE(INDEX(#REF!,A534))&gt;0,ISBLANK(INDEX(#REF!,A534))),$B$175,""),"")</f>
        <v/>
      </c>
      <c r="J534" s="113" t="str">
        <f>IFERROR(IF(AND(organisation_name="yes",VALUE(INDEX(#REF!,A534))&gt;0,ISBLANK(INDEX(#REF!,A534)),Tabel33[[#This Row],[organisation type]]=""),$B$176,""),"")</f>
        <v/>
      </c>
    </row>
    <row r="535" spans="1:10" outlineLevel="1" x14ac:dyDescent="0.35">
      <c r="A535" s="217">
        <v>16</v>
      </c>
      <c r="B535" s="217" t="str">
        <f t="array" ref="B535">IFERROR(INDEX(Tabel33[[#This Row],[Empty line]:[organisation name]],1,MATCH(TRUE,LEN(Tabel33[[#This Row],[Empty line]:[organisation name]])&gt;0,0)),"")</f>
        <v/>
      </c>
      <c r="C535" s="113" t="str">
        <f>IFERROR(IF(AND(LEN(INDEX(#REF!,$A535))+LEN(INDEX(#REF!,$A535))+LEN(INDEX(#REF!,$A535))+LEN(INDEX(#REF!,$A535))&gt;0,LEN(INDEX(#REF!,$A535-1))+LEN(INDEX(#REF!,$A535-1))+LEN(INDEX(#REF!,$A535-1))+LEN(INDEX(#REF!,$A535-1))=0),$B$127,""),"")</f>
        <v/>
      </c>
      <c r="D535" s="113" t="str">
        <f>IFERROR(IF(AND(INDEX(#REF!="",$A535),OR(INDEX(#REF!,$A535)&gt;0,INDEX(#REF!,$A535)&gt;0,INDEX(#REF!,$A535)&gt;0,LEN(INDEX(#REF!,$A535))&gt;0)),$B$171,""),"")</f>
        <v/>
      </c>
      <c r="E535" s="113" t="e">
        <f>IF(AND(INDEX(#REF!,A535)&lt;&gt;"",OR(INDEX(#REF!,A535)&lt;=0,INDEX(#REF!,A535)&lt;=0)),INDEX(salaries_academic[],MATCH(INDEX(#REF!,A535),salaries_academic[category],0),2),"")</f>
        <v>#REF!</v>
      </c>
      <c r="F535" s="113" t="str">
        <f>IFERROR(IF(Tabel33[[#This Row],[Instruction]]="",IF(AND(INDEX(#REF!="",A535),OR(INDEX(#REF!,A535)&lt;&gt;"",INDEX(#REF!,A535)&gt;0,INDEX(#REF!,A535)&gt;0,INDEX(#REF!,A535)&gt;0,LEN(INDEX(#REF!,A535))&gt;0)),$B$173,""),""),"")</f>
        <v/>
      </c>
      <c r="G535" s="113" t="e">
        <f>IF(AND(Tabel33[[#This Row],[Instruction]]="",Tabel33[[#This Row],[Country not specified]]=""),IF(AND(INDEX(#REF!,A535)&lt;&gt;"",INDEX(#REF!,A535)&lt;=0),IF(INDEX(salaries_academic[],MATCH(INDEX(#REF!,A535),salaries_academic[category],0),3)="",$B$172,""),""),"")</f>
        <v>#REF!</v>
      </c>
      <c r="H535" s="113" t="str">
        <f>IFERROR(IF(AND(INDEX(salaries_academic[],MATCH(INDEX(#REF!,A535),salaries_academic[category],0),3)&gt;0,INDEX(#REF!,A535)&gt;0),$B$174,""),"")</f>
        <v/>
      </c>
      <c r="I535" s="113" t="str">
        <f>IFERROR(IF(AND(organisation_type="yes",VALUE(INDEX(#REF!,A535))&gt;0,ISBLANK(INDEX(#REF!,A535))),$B$175,""),"")</f>
        <v/>
      </c>
      <c r="J535" s="113" t="str">
        <f>IFERROR(IF(AND(organisation_name="yes",VALUE(INDEX(#REF!,A535))&gt;0,ISBLANK(INDEX(#REF!,A535)),Tabel33[[#This Row],[organisation type]]=""),$B$176,""),"")</f>
        <v/>
      </c>
    </row>
    <row r="536" spans="1:10" outlineLevel="1" x14ac:dyDescent="0.35">
      <c r="A536" s="217">
        <v>17</v>
      </c>
      <c r="B536" s="217" t="str">
        <f t="array" ref="B536">IFERROR(INDEX(Tabel33[[#This Row],[Empty line]:[organisation name]],1,MATCH(TRUE,LEN(Tabel33[[#This Row],[Empty line]:[organisation name]])&gt;0,0)),"")</f>
        <v/>
      </c>
      <c r="C536" s="113" t="str">
        <f>IFERROR(IF(AND(LEN(INDEX(#REF!,$A536))+LEN(INDEX(#REF!,$A536))+LEN(INDEX(#REF!,$A536))+LEN(INDEX(#REF!,$A536))&gt;0,LEN(INDEX(#REF!,$A536-1))+LEN(INDEX(#REF!,$A536-1))+LEN(INDEX(#REF!,$A536-1))+LEN(INDEX(#REF!,$A536-1))=0),$B$127,""),"")</f>
        <v/>
      </c>
      <c r="D536" s="113" t="str">
        <f>IFERROR(IF(AND(INDEX(#REF!="",$A536),OR(INDEX(#REF!,$A536)&gt;0,INDEX(#REF!,$A536)&gt;0,INDEX(#REF!,$A536)&gt;0,LEN(INDEX(#REF!,$A536))&gt;0)),$B$171,""),"")</f>
        <v/>
      </c>
      <c r="E536" s="113" t="e">
        <f>IF(AND(INDEX(#REF!,A536)&lt;&gt;"",OR(INDEX(#REF!,A536)&lt;=0,INDEX(#REF!,A536)&lt;=0)),INDEX(salaries_academic[],MATCH(INDEX(#REF!,A536),salaries_academic[category],0),2),"")</f>
        <v>#REF!</v>
      </c>
      <c r="F536" s="113" t="str">
        <f>IFERROR(IF(Tabel33[[#This Row],[Instruction]]="",IF(AND(INDEX(#REF!="",A536),OR(INDEX(#REF!,A536)&lt;&gt;"",INDEX(#REF!,A536)&gt;0,INDEX(#REF!,A536)&gt;0,INDEX(#REF!,A536)&gt;0,LEN(INDEX(#REF!,A536))&gt;0)),$B$173,""),""),"")</f>
        <v/>
      </c>
      <c r="G536" s="113" t="e">
        <f>IF(AND(Tabel33[[#This Row],[Instruction]]="",Tabel33[[#This Row],[Country not specified]]=""),IF(AND(INDEX(#REF!,A536)&lt;&gt;"",INDEX(#REF!,A536)&lt;=0),IF(INDEX(salaries_academic[],MATCH(INDEX(#REF!,A536),salaries_academic[category],0),3)="",$B$172,""),""),"")</f>
        <v>#REF!</v>
      </c>
      <c r="H536" s="113" t="str">
        <f>IFERROR(IF(AND(INDEX(salaries_academic[],MATCH(INDEX(#REF!,A536),salaries_academic[category],0),3)&gt;0,INDEX(#REF!,A536)&gt;0),$B$174,""),"")</f>
        <v/>
      </c>
      <c r="I536" s="113" t="str">
        <f>IFERROR(IF(AND(organisation_type="yes",VALUE(INDEX(#REF!,A536))&gt;0,ISBLANK(INDEX(#REF!,A536))),$B$175,""),"")</f>
        <v/>
      </c>
      <c r="J536" s="113" t="str">
        <f>IFERROR(IF(AND(organisation_name="yes",VALUE(INDEX(#REF!,A536))&gt;0,ISBLANK(INDEX(#REF!,A536)),Tabel33[[#This Row],[organisation type]]=""),$B$176,""),"")</f>
        <v/>
      </c>
    </row>
    <row r="537" spans="1:10" outlineLevel="1" x14ac:dyDescent="0.35">
      <c r="A537" s="217">
        <v>18</v>
      </c>
      <c r="B537" s="217" t="str">
        <f t="array" ref="B537">IFERROR(INDEX(Tabel33[[#This Row],[Empty line]:[organisation name]],1,MATCH(TRUE,LEN(Tabel33[[#This Row],[Empty line]:[organisation name]])&gt;0,0)),"")</f>
        <v/>
      </c>
      <c r="C537" s="113" t="str">
        <f>IFERROR(IF(AND(LEN(INDEX(#REF!,$A537))+LEN(INDEX(#REF!,$A537))+LEN(INDEX(#REF!,$A537))+LEN(INDEX(#REF!,$A537))&gt;0,LEN(INDEX(#REF!,$A537-1))+LEN(INDEX(#REF!,$A537-1))+LEN(INDEX(#REF!,$A537-1))+LEN(INDEX(#REF!,$A537-1))=0),$B$127,""),"")</f>
        <v/>
      </c>
      <c r="D537" s="113" t="str">
        <f>IFERROR(IF(AND(INDEX(#REF!="",$A537),OR(INDEX(#REF!,$A537)&gt;0,INDEX(#REF!,$A537)&gt;0,INDEX(#REF!,$A537)&gt;0,LEN(INDEX(#REF!,$A537))&gt;0)),$B$171,""),"")</f>
        <v/>
      </c>
      <c r="E537" s="113" t="e">
        <f>IF(AND(INDEX(#REF!,A537)&lt;&gt;"",OR(INDEX(#REF!,A537)&lt;=0,INDEX(#REF!,A537)&lt;=0)),INDEX(salaries_academic[],MATCH(INDEX(#REF!,A537),salaries_academic[category],0),2),"")</f>
        <v>#REF!</v>
      </c>
      <c r="F537" s="113" t="str">
        <f>IFERROR(IF(Tabel33[[#This Row],[Instruction]]="",IF(AND(INDEX(#REF!="",A537),OR(INDEX(#REF!,A537)&lt;&gt;"",INDEX(#REF!,A537)&gt;0,INDEX(#REF!,A537)&gt;0,INDEX(#REF!,A537)&gt;0,LEN(INDEX(#REF!,A537))&gt;0)),$B$173,""),""),"")</f>
        <v/>
      </c>
      <c r="G537" s="113" t="e">
        <f>IF(AND(Tabel33[[#This Row],[Instruction]]="",Tabel33[[#This Row],[Country not specified]]=""),IF(AND(INDEX(#REF!,A537)&lt;&gt;"",INDEX(#REF!,A537)&lt;=0),IF(INDEX(salaries_academic[],MATCH(INDEX(#REF!,A537),salaries_academic[category],0),3)="",$B$172,""),""),"")</f>
        <v>#REF!</v>
      </c>
      <c r="H537" s="113" t="str">
        <f>IFERROR(IF(AND(INDEX(salaries_academic[],MATCH(INDEX(#REF!,A537),salaries_academic[category],0),3)&gt;0,INDEX(#REF!,A537)&gt;0),$B$174,""),"")</f>
        <v/>
      </c>
      <c r="I537" s="113" t="str">
        <f>IFERROR(IF(AND(organisation_type="yes",VALUE(INDEX(#REF!,A537))&gt;0,ISBLANK(INDEX(#REF!,A537))),$B$175,""),"")</f>
        <v/>
      </c>
      <c r="J537" s="113" t="str">
        <f>IFERROR(IF(AND(organisation_name="yes",VALUE(INDEX(#REF!,A537))&gt;0,ISBLANK(INDEX(#REF!,A537)),Tabel33[[#This Row],[organisation type]]=""),$B$176,""),"")</f>
        <v/>
      </c>
    </row>
    <row r="538" spans="1:10" outlineLevel="1" x14ac:dyDescent="0.35">
      <c r="A538" s="217">
        <v>19</v>
      </c>
      <c r="B538" s="217" t="str">
        <f t="array" ref="B538">IFERROR(INDEX(Tabel33[[#This Row],[Empty line]:[organisation name]],1,MATCH(TRUE,LEN(Tabel33[[#This Row],[Empty line]:[organisation name]])&gt;0,0)),"")</f>
        <v/>
      </c>
      <c r="C538" s="113" t="str">
        <f>IFERROR(IF(AND(LEN(INDEX(#REF!,$A538))+LEN(INDEX(#REF!,$A538))+LEN(INDEX(#REF!,$A538))+LEN(INDEX(#REF!,$A538))&gt;0,LEN(INDEX(#REF!,$A538-1))+LEN(INDEX(#REF!,$A538-1))+LEN(INDEX(#REF!,$A538-1))+LEN(INDEX(#REF!,$A538-1))=0),$B$127,""),"")</f>
        <v/>
      </c>
      <c r="D538" s="113" t="str">
        <f>IFERROR(IF(AND(INDEX(#REF!="",$A538),OR(INDEX(#REF!,$A538)&gt;0,INDEX(#REF!,$A538)&gt;0,INDEX(#REF!,$A538)&gt;0,LEN(INDEX(#REF!,$A538))&gt;0)),$B$171,""),"")</f>
        <v/>
      </c>
      <c r="E538" s="113" t="e">
        <f>IF(AND(INDEX(#REF!,A538)&lt;&gt;"",OR(INDEX(#REF!,A538)&lt;=0,INDEX(#REF!,A538)&lt;=0)),INDEX(salaries_academic[],MATCH(INDEX(#REF!,A538),salaries_academic[category],0),2),"")</f>
        <v>#REF!</v>
      </c>
      <c r="F538" s="113" t="str">
        <f>IFERROR(IF(Tabel33[[#This Row],[Instruction]]="",IF(AND(INDEX(#REF!="",A538),OR(INDEX(#REF!,A538)&lt;&gt;"",INDEX(#REF!,A538)&gt;0,INDEX(#REF!,A538)&gt;0,INDEX(#REF!,A538)&gt;0,LEN(INDEX(#REF!,A538))&gt;0)),$B$173,""),""),"")</f>
        <v/>
      </c>
      <c r="G538" s="113" t="e">
        <f>IF(AND(Tabel33[[#This Row],[Instruction]]="",Tabel33[[#This Row],[Country not specified]]=""),IF(AND(INDEX(#REF!,A538)&lt;&gt;"",INDEX(#REF!,A538)&lt;=0),IF(INDEX(salaries_academic[],MATCH(INDEX(#REF!,A538),salaries_academic[category],0),3)="",$B$172,""),""),"")</f>
        <v>#REF!</v>
      </c>
      <c r="H538" s="113" t="str">
        <f>IFERROR(IF(AND(INDEX(salaries_academic[],MATCH(INDEX(#REF!,A538),salaries_academic[category],0),3)&gt;0,INDEX(#REF!,A538)&gt;0),$B$174,""),"")</f>
        <v/>
      </c>
      <c r="I538" s="113" t="str">
        <f>IFERROR(IF(AND(organisation_type="yes",VALUE(INDEX(#REF!,A538))&gt;0,ISBLANK(INDEX(#REF!,A538))),$B$175,""),"")</f>
        <v/>
      </c>
      <c r="J538" s="113" t="str">
        <f>IFERROR(IF(AND(organisation_name="yes",VALUE(INDEX(#REF!,A538))&gt;0,ISBLANK(INDEX(#REF!,A538)),Tabel33[[#This Row],[organisation type]]=""),$B$176,""),"")</f>
        <v/>
      </c>
    </row>
    <row r="539" spans="1:10" outlineLevel="1" x14ac:dyDescent="0.35">
      <c r="A539" s="217">
        <v>20</v>
      </c>
      <c r="B539" s="217" t="str">
        <f t="array" ref="B539">IFERROR(INDEX(Tabel33[[#This Row],[Empty line]:[organisation name]],1,MATCH(TRUE,LEN(Tabel33[[#This Row],[Empty line]:[organisation name]])&gt;0,0)),"")</f>
        <v/>
      </c>
      <c r="C539" s="113" t="str">
        <f>IFERROR(IF(AND(LEN(INDEX(#REF!,$A539))+LEN(INDEX(#REF!,$A539))+LEN(INDEX(#REF!,$A539))+LEN(INDEX(#REF!,$A539))&gt;0,LEN(INDEX(#REF!,$A539-1))+LEN(INDEX(#REF!,$A539-1))+LEN(INDEX(#REF!,$A539-1))+LEN(INDEX(#REF!,$A539-1))=0),$B$127,""),"")</f>
        <v/>
      </c>
      <c r="D539" s="113" t="str">
        <f>IFERROR(IF(AND(INDEX(#REF!="",$A539),OR(INDEX(#REF!,$A539)&gt;0,INDEX(#REF!,$A539)&gt;0,INDEX(#REF!,$A539)&gt;0,LEN(INDEX(#REF!,$A539))&gt;0)),$B$171,""),"")</f>
        <v/>
      </c>
      <c r="E539" s="113" t="e">
        <f>IF(AND(INDEX(#REF!,A539)&lt;&gt;"",OR(INDEX(#REF!,A539)&lt;=0,INDEX(#REF!,A539)&lt;=0)),INDEX(salaries_academic[],MATCH(INDEX(#REF!,A539),salaries_academic[category],0),2),"")</f>
        <v>#REF!</v>
      </c>
      <c r="F539" s="113" t="str">
        <f>IFERROR(IF(Tabel33[[#This Row],[Instruction]]="",IF(AND(INDEX(#REF!="",A539),OR(INDEX(#REF!,A539)&lt;&gt;"",INDEX(#REF!,A539)&gt;0,INDEX(#REF!,A539)&gt;0,INDEX(#REF!,A539)&gt;0,LEN(INDEX(#REF!,A539))&gt;0)),$B$173,""),""),"")</f>
        <v/>
      </c>
      <c r="G539" s="113" t="e">
        <f>IF(AND(Tabel33[[#This Row],[Instruction]]="",Tabel33[[#This Row],[Country not specified]]=""),IF(AND(INDEX(#REF!,A539)&lt;&gt;"",INDEX(#REF!,A539)&lt;=0),IF(INDEX(salaries_academic[],MATCH(INDEX(#REF!,A539),salaries_academic[category],0),3)="",$B$172,""),""),"")</f>
        <v>#REF!</v>
      </c>
      <c r="H539" s="113" t="str">
        <f>IFERROR(IF(AND(INDEX(salaries_academic[],MATCH(INDEX(#REF!,A539),salaries_academic[category],0),3)&gt;0,INDEX(#REF!,A539)&gt;0),$B$174,""),"")</f>
        <v/>
      </c>
      <c r="I539" s="113" t="str">
        <f>IFERROR(IF(AND(organisation_type="yes",VALUE(INDEX(#REF!,A539))&gt;0,ISBLANK(INDEX(#REF!,A539))),$B$175,""),"")</f>
        <v/>
      </c>
      <c r="J539" s="113" t="str">
        <f>IFERROR(IF(AND(organisation_name="yes",VALUE(INDEX(#REF!,A539))&gt;0,ISBLANK(INDEX(#REF!,A539)),Tabel33[[#This Row],[organisation type]]=""),$B$176,""),"")</f>
        <v/>
      </c>
    </row>
    <row r="540" spans="1:10" outlineLevel="1" x14ac:dyDescent="0.35">
      <c r="A540" s="217">
        <v>21</v>
      </c>
      <c r="B540" s="217" t="str">
        <f t="array" ref="B540">IFERROR(INDEX(Tabel33[[#This Row],[Empty line]:[organisation name]],1,MATCH(TRUE,LEN(Tabel33[[#This Row],[Empty line]:[organisation name]])&gt;0,0)),"")</f>
        <v/>
      </c>
      <c r="C540" s="113" t="str">
        <f>IFERROR(IF(AND(LEN(INDEX(#REF!,$A540))+LEN(INDEX(#REF!,$A540))+LEN(INDEX(#REF!,$A540))+LEN(INDEX(#REF!,$A540))&gt;0,LEN(INDEX(#REF!,$A540-1))+LEN(INDEX(#REF!,$A540-1))+LEN(INDEX(#REF!,$A540-1))+LEN(INDEX(#REF!,$A540-1))=0),$B$127,""),"")</f>
        <v/>
      </c>
      <c r="D540" s="113" t="str">
        <f>IFERROR(IF(AND(INDEX(#REF!="",$A540),OR(INDEX(#REF!,$A540)&gt;0,INDEX(#REF!,$A540)&gt;0,INDEX(#REF!,$A540)&gt;0,LEN(INDEX(#REF!,$A540))&gt;0)),$B$171,""),"")</f>
        <v/>
      </c>
      <c r="E540" s="113" t="e">
        <f>IF(AND(INDEX(#REF!,A540)&lt;&gt;"",OR(INDEX(#REF!,A540)&lt;=0,INDEX(#REF!,A540)&lt;=0)),INDEX(salaries_academic[],MATCH(INDEX(#REF!,A540),salaries_academic[category],0),2),"")</f>
        <v>#REF!</v>
      </c>
      <c r="F540" s="113" t="str">
        <f>IFERROR(IF(Tabel33[[#This Row],[Instruction]]="",IF(AND(INDEX(#REF!="",A540),OR(INDEX(#REF!,A540)&lt;&gt;"",INDEX(#REF!,A540)&gt;0,INDEX(#REF!,A540)&gt;0,INDEX(#REF!,A540)&gt;0,LEN(INDEX(#REF!,A540))&gt;0)),$B$173,""),""),"")</f>
        <v/>
      </c>
      <c r="G540" s="113" t="e">
        <f>IF(AND(Tabel33[[#This Row],[Instruction]]="",Tabel33[[#This Row],[Country not specified]]=""),IF(AND(INDEX(#REF!,A540)&lt;&gt;"",INDEX(#REF!,A540)&lt;=0),IF(INDEX(salaries_academic[],MATCH(INDEX(#REF!,A540),salaries_academic[category],0),3)="",$B$172,""),""),"")</f>
        <v>#REF!</v>
      </c>
      <c r="H540" s="113" t="str">
        <f>IFERROR(IF(AND(INDEX(salaries_academic[],MATCH(INDEX(#REF!,A540),salaries_academic[category],0),3)&gt;0,INDEX(#REF!,A540)&gt;0),$B$174,""),"")</f>
        <v/>
      </c>
      <c r="I540" s="113" t="str">
        <f>IFERROR(IF(AND(organisation_type="yes",VALUE(INDEX(#REF!,A540))&gt;0,ISBLANK(INDEX(#REF!,A540))),$B$175,""),"")</f>
        <v/>
      </c>
      <c r="J540" s="113" t="str">
        <f>IFERROR(IF(AND(organisation_name="yes",VALUE(INDEX(#REF!,A540))&gt;0,ISBLANK(INDEX(#REF!,A540)),Tabel33[[#This Row],[organisation type]]=""),$B$176,""),"")</f>
        <v/>
      </c>
    </row>
    <row r="541" spans="1:10" outlineLevel="1" x14ac:dyDescent="0.35">
      <c r="A541" s="217">
        <v>22</v>
      </c>
      <c r="B541" s="217" t="str">
        <f t="array" ref="B541">IFERROR(INDEX(Tabel33[[#This Row],[Empty line]:[organisation name]],1,MATCH(TRUE,LEN(Tabel33[[#This Row],[Empty line]:[organisation name]])&gt;0,0)),"")</f>
        <v/>
      </c>
      <c r="C541" s="113" t="str">
        <f>IFERROR(IF(AND(LEN(INDEX(#REF!,$A541))+LEN(INDEX(#REF!,$A541))+LEN(INDEX(#REF!,$A541))+LEN(INDEX(#REF!,$A541))&gt;0,LEN(INDEX(#REF!,$A541-1))+LEN(INDEX(#REF!,$A541-1))+LEN(INDEX(#REF!,$A541-1))+LEN(INDEX(#REF!,$A541-1))=0),$B$127,""),"")</f>
        <v/>
      </c>
      <c r="D541" s="113" t="str">
        <f>IFERROR(IF(AND(INDEX(#REF!="",$A541),OR(INDEX(#REF!,$A541)&gt;0,INDEX(#REF!,$A541)&gt;0,INDEX(#REF!,$A541)&gt;0,LEN(INDEX(#REF!,$A541))&gt;0)),$B$171,""),"")</f>
        <v/>
      </c>
      <c r="E541" s="113" t="e">
        <f>IF(AND(INDEX(#REF!,A541)&lt;&gt;"",OR(INDEX(#REF!,A541)&lt;=0,INDEX(#REF!,A541)&lt;=0)),INDEX(salaries_academic[],MATCH(INDEX(#REF!,A541),salaries_academic[category],0),2),"")</f>
        <v>#REF!</v>
      </c>
      <c r="F541" s="113" t="str">
        <f>IFERROR(IF(Tabel33[[#This Row],[Instruction]]="",IF(AND(INDEX(#REF!="",A541),OR(INDEX(#REF!,A541)&lt;&gt;"",INDEX(#REF!,A541)&gt;0,INDEX(#REF!,A541)&gt;0,INDEX(#REF!,A541)&gt;0,LEN(INDEX(#REF!,A541))&gt;0)),$B$173,""),""),"")</f>
        <v/>
      </c>
      <c r="G541" s="113" t="e">
        <f>IF(AND(Tabel33[[#This Row],[Instruction]]="",Tabel33[[#This Row],[Country not specified]]=""),IF(AND(INDEX(#REF!,A541)&lt;&gt;"",INDEX(#REF!,A541)&lt;=0),IF(INDEX(salaries_academic[],MATCH(INDEX(#REF!,A541),salaries_academic[category],0),3)="",$B$172,""),""),"")</f>
        <v>#REF!</v>
      </c>
      <c r="H541" s="113" t="str">
        <f>IFERROR(IF(AND(INDEX(salaries_academic[],MATCH(INDEX(#REF!,A541),salaries_academic[category],0),3)&gt;0,INDEX(#REF!,A541)&gt;0),$B$174,""),"")</f>
        <v/>
      </c>
      <c r="I541" s="113" t="str">
        <f>IFERROR(IF(AND(organisation_type="yes",VALUE(INDEX(#REF!,A541))&gt;0,ISBLANK(INDEX(#REF!,A541))),$B$175,""),"")</f>
        <v/>
      </c>
      <c r="J541" s="113" t="str">
        <f>IFERROR(IF(AND(organisation_name="yes",VALUE(INDEX(#REF!,A541))&gt;0,ISBLANK(INDEX(#REF!,A541)),Tabel33[[#This Row],[organisation type]]=""),$B$176,""),"")</f>
        <v/>
      </c>
    </row>
    <row r="542" spans="1:10" outlineLevel="1" x14ac:dyDescent="0.35">
      <c r="A542" s="217">
        <v>23</v>
      </c>
      <c r="B542" s="217" t="str">
        <f t="array" ref="B542">IFERROR(INDEX(Tabel33[[#This Row],[Empty line]:[organisation name]],1,MATCH(TRUE,LEN(Tabel33[[#This Row],[Empty line]:[organisation name]])&gt;0,0)),"")</f>
        <v/>
      </c>
      <c r="C542" s="113" t="str">
        <f>IFERROR(IF(AND(LEN(INDEX(#REF!,$A542))+LEN(INDEX(#REF!,$A542))+LEN(INDEX(#REF!,$A542))+LEN(INDEX(#REF!,$A542))&gt;0,LEN(INDEX(#REF!,$A542-1))+LEN(INDEX(#REF!,$A542-1))+LEN(INDEX(#REF!,$A542-1))+LEN(INDEX(#REF!,$A542-1))=0),$B$127,""),"")</f>
        <v/>
      </c>
      <c r="D542" s="113" t="str">
        <f>IFERROR(IF(AND(INDEX(#REF!="",$A542),OR(INDEX(#REF!,$A542)&gt;0,INDEX(#REF!,$A542)&gt;0,INDEX(#REF!,$A542)&gt;0,LEN(INDEX(#REF!,$A542))&gt;0)),$B$171,""),"")</f>
        <v/>
      </c>
      <c r="E542" s="113" t="e">
        <f>IF(AND(INDEX(#REF!,A542)&lt;&gt;"",OR(INDEX(#REF!,A542)&lt;=0,INDEX(#REF!,A542)&lt;=0)),INDEX(salaries_academic[],MATCH(INDEX(#REF!,A542),salaries_academic[category],0),2),"")</f>
        <v>#REF!</v>
      </c>
      <c r="F542" s="113" t="str">
        <f>IFERROR(IF(Tabel33[[#This Row],[Instruction]]="",IF(AND(INDEX(#REF!="",A542),OR(INDEX(#REF!,A542)&lt;&gt;"",INDEX(#REF!,A542)&gt;0,INDEX(#REF!,A542)&gt;0,INDEX(#REF!,A542)&gt;0,LEN(INDEX(#REF!,A542))&gt;0)),$B$173,""),""),"")</f>
        <v/>
      </c>
      <c r="G542" s="113" t="e">
        <f>IF(AND(Tabel33[[#This Row],[Instruction]]="",Tabel33[[#This Row],[Country not specified]]=""),IF(AND(INDEX(#REF!,A542)&lt;&gt;"",INDEX(#REF!,A542)&lt;=0),IF(INDEX(salaries_academic[],MATCH(INDEX(#REF!,A542),salaries_academic[category],0),3)="",$B$172,""),""),"")</f>
        <v>#REF!</v>
      </c>
      <c r="H542" s="113" t="str">
        <f>IFERROR(IF(AND(INDEX(salaries_academic[],MATCH(INDEX(#REF!,A542),salaries_academic[category],0),3)&gt;0,INDEX(#REF!,A542)&gt;0),$B$174,""),"")</f>
        <v/>
      </c>
      <c r="I542" s="113" t="str">
        <f>IFERROR(IF(AND(organisation_type="yes",VALUE(INDEX(#REF!,A542))&gt;0,ISBLANK(INDEX(#REF!,A542))),$B$175,""),"")</f>
        <v/>
      </c>
      <c r="J542" s="113" t="str">
        <f>IFERROR(IF(AND(organisation_name="yes",VALUE(INDEX(#REF!,A542))&gt;0,ISBLANK(INDEX(#REF!,A542)),Tabel33[[#This Row],[organisation type]]=""),$B$176,""),"")</f>
        <v/>
      </c>
    </row>
    <row r="543" spans="1:10" outlineLevel="1" x14ac:dyDescent="0.35">
      <c r="A543" s="217">
        <v>24</v>
      </c>
      <c r="B543" s="217" t="str">
        <f t="array" ref="B543">IFERROR(INDEX(Tabel33[[#This Row],[Empty line]:[organisation name]],1,MATCH(TRUE,LEN(Tabel33[[#This Row],[Empty line]:[organisation name]])&gt;0,0)),"")</f>
        <v/>
      </c>
      <c r="C543" s="113" t="str">
        <f>IFERROR(IF(AND(LEN(INDEX(#REF!,$A543))+LEN(INDEX(#REF!,$A543))+LEN(INDEX(#REF!,$A543))+LEN(INDEX(#REF!,$A543))&gt;0,LEN(INDEX(#REF!,$A543-1))+LEN(INDEX(#REF!,$A543-1))+LEN(INDEX(#REF!,$A543-1))+LEN(INDEX(#REF!,$A543-1))=0),$B$127,""),"")</f>
        <v/>
      </c>
      <c r="D543" s="113" t="str">
        <f>IFERROR(IF(AND(INDEX(#REF!="",$A543),OR(INDEX(#REF!,$A543)&gt;0,INDEX(#REF!,$A543)&gt;0,INDEX(#REF!,$A543)&gt;0,LEN(INDEX(#REF!,$A543))&gt;0)),$B$171,""),"")</f>
        <v/>
      </c>
      <c r="E543" s="113" t="e">
        <f>IF(AND(INDEX(#REF!,A543)&lt;&gt;"",OR(INDEX(#REF!,A543)&lt;=0,INDEX(#REF!,A543)&lt;=0)),INDEX(salaries_academic[],MATCH(INDEX(#REF!,A543),salaries_academic[category],0),2),"")</f>
        <v>#REF!</v>
      </c>
      <c r="F543" s="113" t="str">
        <f>IFERROR(IF(Tabel33[[#This Row],[Instruction]]="",IF(AND(INDEX(#REF!="",A543),OR(INDEX(#REF!,A543)&lt;&gt;"",INDEX(#REF!,A543)&gt;0,INDEX(#REF!,A543)&gt;0,INDEX(#REF!,A543)&gt;0,LEN(INDEX(#REF!,A543))&gt;0)),$B$173,""),""),"")</f>
        <v/>
      </c>
      <c r="G543" s="113" t="e">
        <f>IF(AND(Tabel33[[#This Row],[Instruction]]="",Tabel33[[#This Row],[Country not specified]]=""),IF(AND(INDEX(#REF!,A543)&lt;&gt;"",INDEX(#REF!,A543)&lt;=0),IF(INDEX(salaries_academic[],MATCH(INDEX(#REF!,A543),salaries_academic[category],0),3)="",$B$172,""),""),"")</f>
        <v>#REF!</v>
      </c>
      <c r="H543" s="113" t="str">
        <f>IFERROR(IF(AND(INDEX(salaries_academic[],MATCH(INDEX(#REF!,A543),salaries_academic[category],0),3)&gt;0,INDEX(#REF!,A543)&gt;0),$B$174,""),"")</f>
        <v/>
      </c>
      <c r="I543" s="113" t="str">
        <f>IFERROR(IF(AND(organisation_type="yes",VALUE(INDEX(#REF!,A543))&gt;0,ISBLANK(INDEX(#REF!,A543))),$B$175,""),"")</f>
        <v/>
      </c>
      <c r="J543" s="113" t="str">
        <f>IFERROR(IF(AND(organisation_name="yes",VALUE(INDEX(#REF!,A543))&gt;0,ISBLANK(INDEX(#REF!,A543)),Tabel33[[#This Row],[organisation type]]=""),$B$176,""),"")</f>
        <v/>
      </c>
    </row>
    <row r="544" spans="1:10" outlineLevel="1" x14ac:dyDescent="0.35">
      <c r="A544" s="217">
        <v>25</v>
      </c>
      <c r="B544" s="217" t="str">
        <f t="array" ref="B544">IFERROR(INDEX(Tabel33[[#This Row],[Empty line]:[organisation name]],1,MATCH(TRUE,LEN(Tabel33[[#This Row],[Empty line]:[organisation name]])&gt;0,0)),"")</f>
        <v/>
      </c>
      <c r="C544" s="113" t="str">
        <f>IFERROR(IF(AND(LEN(INDEX(#REF!,$A544))+LEN(INDEX(#REF!,$A544))+LEN(INDEX(#REF!,$A544))+LEN(INDEX(#REF!,$A544))&gt;0,LEN(INDEX(#REF!,$A544-1))+LEN(INDEX(#REF!,$A544-1))+LEN(INDEX(#REF!,$A544-1))+LEN(INDEX(#REF!,$A544-1))=0),$B$127,""),"")</f>
        <v/>
      </c>
      <c r="D544" s="113" t="str">
        <f>IFERROR(IF(AND(INDEX(#REF!="",$A544),OR(INDEX(#REF!,$A544)&gt;0,INDEX(#REF!,$A544)&gt;0,INDEX(#REF!,$A544)&gt;0,LEN(INDEX(#REF!,$A544))&gt;0)),$B$171,""),"")</f>
        <v/>
      </c>
      <c r="E544" s="113" t="e">
        <f>IF(AND(INDEX(#REF!,A544)&lt;&gt;"",OR(INDEX(#REF!,A544)&lt;=0,INDEX(#REF!,A544)&lt;=0)),INDEX(salaries_academic[],MATCH(INDEX(#REF!,A544),salaries_academic[category],0),2),"")</f>
        <v>#REF!</v>
      </c>
      <c r="F544" s="113" t="str">
        <f>IFERROR(IF(Tabel33[[#This Row],[Instruction]]="",IF(AND(INDEX(#REF!="",A544),OR(INDEX(#REF!,A544)&lt;&gt;"",INDEX(#REF!,A544)&gt;0,INDEX(#REF!,A544)&gt;0,INDEX(#REF!,A544)&gt;0,LEN(INDEX(#REF!,A544))&gt;0)),$B$173,""),""),"")</f>
        <v/>
      </c>
      <c r="G544" s="113" t="e">
        <f>IF(AND(Tabel33[[#This Row],[Instruction]]="",Tabel33[[#This Row],[Country not specified]]=""),IF(AND(INDEX(#REF!,A544)&lt;&gt;"",INDEX(#REF!,A544)&lt;=0),IF(INDEX(salaries_academic[],MATCH(INDEX(#REF!,A544),salaries_academic[category],0),3)="",$B$172,""),""),"")</f>
        <v>#REF!</v>
      </c>
      <c r="H544" s="113" t="str">
        <f>IFERROR(IF(AND(INDEX(salaries_academic[],MATCH(INDEX(#REF!,A544),salaries_academic[category],0),3)&gt;0,INDEX(#REF!,A544)&gt;0),$B$174,""),"")</f>
        <v/>
      </c>
      <c r="I544" s="113" t="str">
        <f>IFERROR(IF(AND(organisation_type="yes",VALUE(INDEX(#REF!,A544))&gt;0,ISBLANK(INDEX(#REF!,A544))),$B$175,""),"")</f>
        <v/>
      </c>
      <c r="J544" s="113" t="str">
        <f>IFERROR(IF(AND(organisation_name="yes",VALUE(INDEX(#REF!,A544))&gt;0,ISBLANK(INDEX(#REF!,A544)),Tabel33[[#This Row],[organisation type]]=""),$B$176,""),"")</f>
        <v/>
      </c>
    </row>
    <row r="545" spans="1:10" outlineLevel="1" x14ac:dyDescent="0.35">
      <c r="A545" s="217">
        <v>26</v>
      </c>
      <c r="B545" s="217" t="str">
        <f t="array" ref="B545">IFERROR(INDEX(Tabel33[[#This Row],[Empty line]:[organisation name]],1,MATCH(TRUE,LEN(Tabel33[[#This Row],[Empty line]:[organisation name]])&gt;0,0)),"")</f>
        <v/>
      </c>
      <c r="C545" s="113" t="str">
        <f>IFERROR(IF(AND(LEN(INDEX(#REF!,$A545))+LEN(INDEX(#REF!,$A545))+LEN(INDEX(#REF!,$A545))+LEN(INDEX(#REF!,$A545))&gt;0,LEN(INDEX(#REF!,$A545-1))+LEN(INDEX(#REF!,$A545-1))+LEN(INDEX(#REF!,$A545-1))+LEN(INDEX(#REF!,$A545-1))=0),$B$127,""),"")</f>
        <v/>
      </c>
      <c r="D545" s="113" t="str">
        <f>IFERROR(IF(AND(INDEX(#REF!="",$A545),OR(INDEX(#REF!,$A545)&gt;0,INDEX(#REF!,$A545)&gt;0,INDEX(#REF!,$A545)&gt;0,LEN(INDEX(#REF!,$A545))&gt;0)),$B$171,""),"")</f>
        <v/>
      </c>
      <c r="E545" s="113" t="e">
        <f>IF(AND(INDEX(#REF!,A545)&lt;&gt;"",OR(INDEX(#REF!,A545)&lt;=0,INDEX(#REF!,A545)&lt;=0)),INDEX(salaries_academic[],MATCH(INDEX(#REF!,A545),salaries_academic[category],0),2),"")</f>
        <v>#REF!</v>
      </c>
      <c r="F545" s="113" t="str">
        <f>IFERROR(IF(Tabel33[[#This Row],[Instruction]]="",IF(AND(INDEX(#REF!="",A545),OR(INDEX(#REF!,A545)&lt;&gt;"",INDEX(#REF!,A545)&gt;0,INDEX(#REF!,A545)&gt;0,INDEX(#REF!,A545)&gt;0,LEN(INDEX(#REF!,A545))&gt;0)),$B$173,""),""),"")</f>
        <v/>
      </c>
      <c r="G545" s="113" t="e">
        <f>IF(AND(Tabel33[[#This Row],[Instruction]]="",Tabel33[[#This Row],[Country not specified]]=""),IF(AND(INDEX(#REF!,A545)&lt;&gt;"",INDEX(#REF!,A545)&lt;=0),IF(INDEX(salaries_academic[],MATCH(INDEX(#REF!,A545),salaries_academic[category],0),3)="",$B$172,""),""),"")</f>
        <v>#REF!</v>
      </c>
      <c r="H545" s="113" t="str">
        <f>IFERROR(IF(AND(INDEX(salaries_academic[],MATCH(INDEX(#REF!,A545),salaries_academic[category],0),3)&gt;0,INDEX(#REF!,A545)&gt;0),$B$174,""),"")</f>
        <v/>
      </c>
      <c r="I545" s="113" t="str">
        <f>IFERROR(IF(AND(organisation_type="yes",VALUE(INDEX(#REF!,A545))&gt;0,ISBLANK(INDEX(#REF!,A545))),$B$175,""),"")</f>
        <v/>
      </c>
      <c r="J545" s="113" t="str">
        <f>IFERROR(IF(AND(organisation_name="yes",VALUE(INDEX(#REF!,A545))&gt;0,ISBLANK(INDEX(#REF!,A545)),Tabel33[[#This Row],[organisation type]]=""),$B$176,""),"")</f>
        <v/>
      </c>
    </row>
    <row r="546" spans="1:10" outlineLevel="1" x14ac:dyDescent="0.35">
      <c r="A546" s="217">
        <v>27</v>
      </c>
      <c r="B546" s="217" t="str">
        <f t="array" ref="B546">IFERROR(INDEX(Tabel33[[#This Row],[Empty line]:[organisation name]],1,MATCH(TRUE,LEN(Tabel33[[#This Row],[Empty line]:[organisation name]])&gt;0,0)),"")</f>
        <v/>
      </c>
      <c r="C546" s="113" t="str">
        <f>IFERROR(IF(AND(LEN(INDEX(#REF!,$A546))+LEN(INDEX(#REF!,$A546))+LEN(INDEX(#REF!,$A546))+LEN(INDEX(#REF!,$A546))&gt;0,LEN(INDEX(#REF!,$A546-1))+LEN(INDEX(#REF!,$A546-1))+LEN(INDEX(#REF!,$A546-1))+LEN(INDEX(#REF!,$A546-1))=0),$B$127,""),"")</f>
        <v/>
      </c>
      <c r="D546" s="113" t="str">
        <f>IFERROR(IF(AND(INDEX(#REF!="",$A546),OR(INDEX(#REF!,$A546)&gt;0,INDEX(#REF!,$A546)&gt;0,INDEX(#REF!,$A546)&gt;0,LEN(INDEX(#REF!,$A546))&gt;0)),$B$171,""),"")</f>
        <v/>
      </c>
      <c r="E546" s="113" t="e">
        <f>IF(AND(INDEX(#REF!,A546)&lt;&gt;"",OR(INDEX(#REF!,A546)&lt;=0,INDEX(#REF!,A546)&lt;=0)),INDEX(salaries_academic[],MATCH(INDEX(#REF!,A546),salaries_academic[category],0),2),"")</f>
        <v>#REF!</v>
      </c>
      <c r="F546" s="113" t="str">
        <f>IFERROR(IF(Tabel33[[#This Row],[Instruction]]="",IF(AND(INDEX(#REF!="",A546),OR(INDEX(#REF!,A546)&lt;&gt;"",INDEX(#REF!,A546)&gt;0,INDEX(#REF!,A546)&gt;0,INDEX(#REF!,A546)&gt;0,LEN(INDEX(#REF!,A546))&gt;0)),$B$173,""),""),"")</f>
        <v/>
      </c>
      <c r="G546" s="113" t="e">
        <f>IF(AND(Tabel33[[#This Row],[Instruction]]="",Tabel33[[#This Row],[Country not specified]]=""),IF(AND(INDEX(#REF!,A546)&lt;&gt;"",INDEX(#REF!,A546)&lt;=0),IF(INDEX(salaries_academic[],MATCH(INDEX(#REF!,A546),salaries_academic[category],0),3)="",$B$172,""),""),"")</f>
        <v>#REF!</v>
      </c>
      <c r="H546" s="113" t="str">
        <f>IFERROR(IF(AND(INDEX(salaries_academic[],MATCH(INDEX(#REF!,A546),salaries_academic[category],0),3)&gt;0,INDEX(#REF!,A546)&gt;0),$B$174,""),"")</f>
        <v/>
      </c>
      <c r="I546" s="113" t="str">
        <f>IFERROR(IF(AND(organisation_type="yes",VALUE(INDEX(#REF!,A546))&gt;0,ISBLANK(INDEX(#REF!,A546))),$B$175,""),"")</f>
        <v/>
      </c>
      <c r="J546" s="113" t="str">
        <f>IFERROR(IF(AND(organisation_name="yes",VALUE(INDEX(#REF!,A546))&gt;0,ISBLANK(INDEX(#REF!,A546)),Tabel33[[#This Row],[organisation type]]=""),$B$176,""),"")</f>
        <v/>
      </c>
    </row>
    <row r="547" spans="1:10" outlineLevel="1" x14ac:dyDescent="0.35">
      <c r="A547" s="217">
        <v>28</v>
      </c>
      <c r="B547" s="217" t="str">
        <f t="array" ref="B547">IFERROR(INDEX(Tabel33[[#This Row],[Empty line]:[organisation name]],1,MATCH(TRUE,LEN(Tabel33[[#This Row],[Empty line]:[organisation name]])&gt;0,0)),"")</f>
        <v/>
      </c>
      <c r="C547" s="113" t="str">
        <f>IFERROR(IF(AND(LEN(INDEX(#REF!,$A547))+LEN(INDEX(#REF!,$A547))+LEN(INDEX(#REF!,$A547))+LEN(INDEX(#REF!,$A547))&gt;0,LEN(INDEX(#REF!,$A547-1))+LEN(INDEX(#REF!,$A547-1))+LEN(INDEX(#REF!,$A547-1))+LEN(INDEX(#REF!,$A547-1))=0),$B$127,""),"")</f>
        <v/>
      </c>
      <c r="D547" s="113" t="str">
        <f>IFERROR(IF(AND(INDEX(#REF!="",$A547),OR(INDEX(#REF!,$A547)&gt;0,INDEX(#REF!,$A547)&gt;0,INDEX(#REF!,$A547)&gt;0,LEN(INDEX(#REF!,$A547))&gt;0)),$B$171,""),"")</f>
        <v/>
      </c>
      <c r="E547" s="113" t="e">
        <f>IF(AND(INDEX(#REF!,A547)&lt;&gt;"",OR(INDEX(#REF!,A547)&lt;=0,INDEX(#REF!,A547)&lt;=0)),INDEX(salaries_academic[],MATCH(INDEX(#REF!,A547),salaries_academic[category],0),2),"")</f>
        <v>#REF!</v>
      </c>
      <c r="F547" s="113" t="str">
        <f>IFERROR(IF(Tabel33[[#This Row],[Instruction]]="",IF(AND(INDEX(#REF!="",A547),OR(INDEX(#REF!,A547)&lt;&gt;"",INDEX(#REF!,A547)&gt;0,INDEX(#REF!,A547)&gt;0,INDEX(#REF!,A547)&gt;0,LEN(INDEX(#REF!,A547))&gt;0)),$B$173,""),""),"")</f>
        <v/>
      </c>
      <c r="G547" s="113" t="e">
        <f>IF(AND(Tabel33[[#This Row],[Instruction]]="",Tabel33[[#This Row],[Country not specified]]=""),IF(AND(INDEX(#REF!,A547)&lt;&gt;"",INDEX(#REF!,A547)&lt;=0),IF(INDEX(salaries_academic[],MATCH(INDEX(#REF!,A547),salaries_academic[category],0),3)="",$B$172,""),""),"")</f>
        <v>#REF!</v>
      </c>
      <c r="H547" s="113" t="str">
        <f>IFERROR(IF(AND(INDEX(salaries_academic[],MATCH(INDEX(#REF!,A547),salaries_academic[category],0),3)&gt;0,INDEX(#REF!,A547)&gt;0),$B$174,""),"")</f>
        <v/>
      </c>
      <c r="I547" s="113" t="str">
        <f>IFERROR(IF(AND(organisation_type="yes",VALUE(INDEX(#REF!,A547))&gt;0,ISBLANK(INDEX(#REF!,A547))),$B$175,""),"")</f>
        <v/>
      </c>
      <c r="J547" s="113" t="str">
        <f>IFERROR(IF(AND(organisation_name="yes",VALUE(INDEX(#REF!,A547))&gt;0,ISBLANK(INDEX(#REF!,A547)),Tabel33[[#This Row],[organisation type]]=""),$B$176,""),"")</f>
        <v/>
      </c>
    </row>
    <row r="548" spans="1:10" outlineLevel="1" x14ac:dyDescent="0.35">
      <c r="A548" s="217">
        <v>29</v>
      </c>
      <c r="B548" s="217" t="str">
        <f t="array" ref="B548">IFERROR(INDEX(Tabel33[[#This Row],[Empty line]:[organisation name]],1,MATCH(TRUE,LEN(Tabel33[[#This Row],[Empty line]:[organisation name]])&gt;0,0)),"")</f>
        <v/>
      </c>
      <c r="C548" s="113" t="str">
        <f>IFERROR(IF(AND(LEN(INDEX(#REF!,$A548))+LEN(INDEX(#REF!,$A548))+LEN(INDEX(#REF!,$A548))+LEN(INDEX(#REF!,$A548))&gt;0,LEN(INDEX(#REF!,$A548-1))+LEN(INDEX(#REF!,$A548-1))+LEN(INDEX(#REF!,$A548-1))+LEN(INDEX(#REF!,$A548-1))=0),$B$127,""),"")</f>
        <v/>
      </c>
      <c r="D548" s="113" t="str">
        <f>IFERROR(IF(AND(INDEX(#REF!="",$A548),OR(INDEX(#REF!,$A548)&gt;0,INDEX(#REF!,$A548)&gt;0,INDEX(#REF!,$A548)&gt;0,LEN(INDEX(#REF!,$A548))&gt;0)),$B$171,""),"")</f>
        <v/>
      </c>
      <c r="E548" s="113" t="e">
        <f>IF(AND(INDEX(#REF!,A548)&lt;&gt;"",OR(INDEX(#REF!,A548)&lt;=0,INDEX(#REF!,A548)&lt;=0)),INDEX(salaries_academic[],MATCH(INDEX(#REF!,A548),salaries_academic[category],0),2),"")</f>
        <v>#REF!</v>
      </c>
      <c r="F548" s="113" t="str">
        <f>IFERROR(IF(Tabel33[[#This Row],[Instruction]]="",IF(AND(INDEX(#REF!="",A548),OR(INDEX(#REF!,A548)&lt;&gt;"",INDEX(#REF!,A548)&gt;0,INDEX(#REF!,A548)&gt;0,INDEX(#REF!,A548)&gt;0,LEN(INDEX(#REF!,A548))&gt;0)),$B$173,""),""),"")</f>
        <v/>
      </c>
      <c r="G548" s="113" t="e">
        <f>IF(AND(Tabel33[[#This Row],[Instruction]]="",Tabel33[[#This Row],[Country not specified]]=""),IF(AND(INDEX(#REF!,A548)&lt;&gt;"",INDEX(#REF!,A548)&lt;=0),IF(INDEX(salaries_academic[],MATCH(INDEX(#REF!,A548),salaries_academic[category],0),3)="",$B$172,""),""),"")</f>
        <v>#REF!</v>
      </c>
      <c r="H548" s="113" t="str">
        <f>IFERROR(IF(AND(INDEX(salaries_academic[],MATCH(INDEX(#REF!,A548),salaries_academic[category],0),3)&gt;0,INDEX(#REF!,A548)&gt;0),$B$174,""),"")</f>
        <v/>
      </c>
      <c r="I548" s="113" t="str">
        <f>IFERROR(IF(AND(organisation_type="yes",VALUE(INDEX(#REF!,A548))&gt;0,ISBLANK(INDEX(#REF!,A548))),$B$175,""),"")</f>
        <v/>
      </c>
      <c r="J548" s="113" t="str">
        <f>IFERROR(IF(AND(organisation_name="yes",VALUE(INDEX(#REF!,A548))&gt;0,ISBLANK(INDEX(#REF!,A548)),Tabel33[[#This Row],[organisation type]]=""),$B$176,""),"")</f>
        <v/>
      </c>
    </row>
    <row r="549" spans="1:10" outlineLevel="1" x14ac:dyDescent="0.35">
      <c r="A549" s="217">
        <v>30</v>
      </c>
      <c r="B549" s="217" t="str">
        <f t="array" ref="B549">IFERROR(INDEX(Tabel33[[#This Row],[Empty line]:[organisation name]],1,MATCH(TRUE,LEN(Tabel33[[#This Row],[Empty line]:[organisation name]])&gt;0,0)),"")</f>
        <v/>
      </c>
      <c r="C549" s="113" t="str">
        <f>IFERROR(IF(AND(LEN(INDEX(#REF!,$A549))+LEN(INDEX(#REF!,$A549))+LEN(INDEX(#REF!,$A549))+LEN(INDEX(#REF!,$A549))&gt;0,LEN(INDEX(#REF!,$A549-1))+LEN(INDEX(#REF!,$A549-1))+LEN(INDEX(#REF!,$A549-1))+LEN(INDEX(#REF!,$A549-1))=0),$B$127,""),"")</f>
        <v/>
      </c>
      <c r="D549" s="113" t="str">
        <f>IFERROR(IF(AND(INDEX(#REF!="",$A549),OR(INDEX(#REF!,$A549)&gt;0,INDEX(#REF!,$A549)&gt;0,INDEX(#REF!,$A549)&gt;0,LEN(INDEX(#REF!,$A549))&gt;0)),$B$171,""),"")</f>
        <v/>
      </c>
      <c r="E549" s="113" t="e">
        <f>IF(AND(INDEX(#REF!,A549)&lt;&gt;"",OR(INDEX(#REF!,A549)&lt;=0,INDEX(#REF!,A549)&lt;=0)),INDEX(salaries_academic[],MATCH(INDEX(#REF!,A549),salaries_academic[category],0),2),"")</f>
        <v>#REF!</v>
      </c>
      <c r="F549" s="113" t="str">
        <f>IFERROR(IF(Tabel33[[#This Row],[Instruction]]="",IF(AND(INDEX(#REF!="",A549),OR(INDEX(#REF!,A549)&lt;&gt;"",INDEX(#REF!,A549)&gt;0,INDEX(#REF!,A549)&gt;0,INDEX(#REF!,A549)&gt;0,LEN(INDEX(#REF!,A549))&gt;0)),$B$173,""),""),"")</f>
        <v/>
      </c>
      <c r="G549" s="113" t="e">
        <f>IF(AND(Tabel33[[#This Row],[Instruction]]="",Tabel33[[#This Row],[Country not specified]]=""),IF(AND(INDEX(#REF!,A549)&lt;&gt;"",INDEX(#REF!,A549)&lt;=0),IF(INDEX(salaries_academic[],MATCH(INDEX(#REF!,A549),salaries_academic[category],0),3)="",$B$172,""),""),"")</f>
        <v>#REF!</v>
      </c>
      <c r="H549" s="113" t="str">
        <f>IFERROR(IF(AND(INDEX(salaries_academic[],MATCH(INDEX(#REF!,A549),salaries_academic[category],0),3)&gt;0,INDEX(#REF!,A549)&gt;0),$B$174,""),"")</f>
        <v/>
      </c>
      <c r="I549" s="113" t="str">
        <f>IFERROR(IF(AND(organisation_type="yes",VALUE(INDEX(#REF!,A549))&gt;0,ISBLANK(INDEX(#REF!,A549))),$B$175,""),"")</f>
        <v/>
      </c>
      <c r="J549" s="113" t="str">
        <f>IFERROR(IF(AND(organisation_name="yes",VALUE(INDEX(#REF!,A549))&gt;0,ISBLANK(INDEX(#REF!,A549)),Tabel33[[#This Row],[organisation type]]=""),$B$176,""),"")</f>
        <v/>
      </c>
    </row>
    <row r="550" spans="1:10" outlineLevel="1" x14ac:dyDescent="0.35">
      <c r="A550" s="217">
        <v>31</v>
      </c>
      <c r="B550" s="217" t="str">
        <f t="array" ref="B550">IFERROR(INDEX(Tabel33[[#This Row],[Empty line]:[organisation name]],1,MATCH(TRUE,LEN(Tabel33[[#This Row],[Empty line]:[organisation name]])&gt;0,0)),"")</f>
        <v/>
      </c>
      <c r="C550" s="113" t="str">
        <f>IFERROR(IF(AND(LEN(INDEX(#REF!,$A550))+LEN(INDEX(#REF!,$A550))+LEN(INDEX(#REF!,$A550))+LEN(INDEX(#REF!,$A550))&gt;0,LEN(INDEX(#REF!,$A550-1))+LEN(INDEX(#REF!,$A550-1))+LEN(INDEX(#REF!,$A550-1))+LEN(INDEX(#REF!,$A550-1))=0),$B$127,""),"")</f>
        <v/>
      </c>
      <c r="D550" s="113" t="str">
        <f>IFERROR(IF(AND(INDEX(#REF!="",$A550),OR(INDEX(#REF!,$A550)&gt;0,INDEX(#REF!,$A550)&gt;0,INDEX(#REF!,$A550)&gt;0,LEN(INDEX(#REF!,$A550))&gt;0)),$B$171,""),"")</f>
        <v/>
      </c>
      <c r="E550" s="113" t="e">
        <f>IF(AND(INDEX(#REF!,A550)&lt;&gt;"",OR(INDEX(#REF!,A550)&lt;=0,INDEX(#REF!,A550)&lt;=0)),INDEX(salaries_academic[],MATCH(INDEX(#REF!,A550),salaries_academic[category],0),2),"")</f>
        <v>#REF!</v>
      </c>
      <c r="F550" s="113" t="str">
        <f>IFERROR(IF(Tabel33[[#This Row],[Instruction]]="",IF(AND(INDEX(#REF!="",A550),OR(INDEX(#REF!,A550)&lt;&gt;"",INDEX(#REF!,A550)&gt;0,INDEX(#REF!,A550)&gt;0,INDEX(#REF!,A550)&gt;0,LEN(INDEX(#REF!,A550))&gt;0)),$B$173,""),""),"")</f>
        <v/>
      </c>
      <c r="G550" s="113" t="e">
        <f>IF(AND(Tabel33[[#This Row],[Instruction]]="",Tabel33[[#This Row],[Country not specified]]=""),IF(AND(INDEX(#REF!,A550)&lt;&gt;"",INDEX(#REF!,A550)&lt;=0),IF(INDEX(salaries_academic[],MATCH(INDEX(#REF!,A550),salaries_academic[category],0),3)="",$B$172,""),""),"")</f>
        <v>#REF!</v>
      </c>
      <c r="H550" s="113" t="str">
        <f>IFERROR(IF(AND(INDEX(salaries_academic[],MATCH(INDEX(#REF!,A550),salaries_academic[category],0),3)&gt;0,INDEX(#REF!,A550)&gt;0),$B$174,""),"")</f>
        <v/>
      </c>
      <c r="I550" s="113" t="str">
        <f>IFERROR(IF(AND(organisation_type="yes",VALUE(INDEX(#REF!,A550))&gt;0,ISBLANK(INDEX(#REF!,A550))),$B$175,""),"")</f>
        <v/>
      </c>
      <c r="J550" s="113" t="str">
        <f>IFERROR(IF(AND(organisation_name="yes",VALUE(INDEX(#REF!,A550))&gt;0,ISBLANK(INDEX(#REF!,A550)),Tabel33[[#This Row],[organisation type]]=""),$B$176,""),"")</f>
        <v/>
      </c>
    </row>
    <row r="551" spans="1:10" outlineLevel="1" x14ac:dyDescent="0.35">
      <c r="A551" s="217">
        <v>32</v>
      </c>
      <c r="B551" s="217" t="str">
        <f t="array" ref="B551">IFERROR(INDEX(Tabel33[[#This Row],[Empty line]:[organisation name]],1,MATCH(TRUE,LEN(Tabel33[[#This Row],[Empty line]:[organisation name]])&gt;0,0)),"")</f>
        <v/>
      </c>
      <c r="C551" s="113" t="str">
        <f>IFERROR(IF(AND(LEN(INDEX(#REF!,$A551))+LEN(INDEX(#REF!,$A551))+LEN(INDEX(#REF!,$A551))+LEN(INDEX(#REF!,$A551))&gt;0,LEN(INDEX(#REF!,$A551-1))+LEN(INDEX(#REF!,$A551-1))+LEN(INDEX(#REF!,$A551-1))+LEN(INDEX(#REF!,$A551-1))=0),$B$127,""),"")</f>
        <v/>
      </c>
      <c r="D551" s="113" t="str">
        <f>IFERROR(IF(AND(INDEX(#REF!="",$A551),OR(INDEX(#REF!,$A551)&gt;0,INDEX(#REF!,$A551)&gt;0,INDEX(#REF!,$A551)&gt;0,LEN(INDEX(#REF!,$A551))&gt;0)),$B$171,""),"")</f>
        <v/>
      </c>
      <c r="E551" s="113" t="e">
        <f>IF(AND(INDEX(#REF!,A551)&lt;&gt;"",OR(INDEX(#REF!,A551)&lt;=0,INDEX(#REF!,A551)&lt;=0)),INDEX(salaries_academic[],MATCH(INDEX(#REF!,A551),salaries_academic[category],0),2),"")</f>
        <v>#REF!</v>
      </c>
      <c r="F551" s="113" t="str">
        <f>IFERROR(IF(Tabel33[[#This Row],[Instruction]]="",IF(AND(INDEX(#REF!="",A551),OR(INDEX(#REF!,A551)&lt;&gt;"",INDEX(#REF!,A551)&gt;0,INDEX(#REF!,A551)&gt;0,INDEX(#REF!,A551)&gt;0,LEN(INDEX(#REF!,A551))&gt;0)),$B$173,""),""),"")</f>
        <v/>
      </c>
      <c r="G551" s="113" t="e">
        <f>IF(AND(Tabel33[[#This Row],[Instruction]]="",Tabel33[[#This Row],[Country not specified]]=""),IF(AND(INDEX(#REF!,A551)&lt;&gt;"",INDEX(#REF!,A551)&lt;=0),IF(INDEX(salaries_academic[],MATCH(INDEX(#REF!,A551),salaries_academic[category],0),3)="",$B$172,""),""),"")</f>
        <v>#REF!</v>
      </c>
      <c r="H551" s="113" t="str">
        <f>IFERROR(IF(AND(INDEX(salaries_academic[],MATCH(INDEX(#REF!,A551),salaries_academic[category],0),3)&gt;0,INDEX(#REF!,A551)&gt;0),$B$174,""),"")</f>
        <v/>
      </c>
      <c r="I551" s="113" t="str">
        <f>IFERROR(IF(AND(organisation_type="yes",VALUE(INDEX(#REF!,A551))&gt;0,ISBLANK(INDEX(#REF!,A551))),$B$175,""),"")</f>
        <v/>
      </c>
      <c r="J551" s="113" t="str">
        <f>IFERROR(IF(AND(organisation_name="yes",VALUE(INDEX(#REF!,A551))&gt;0,ISBLANK(INDEX(#REF!,A551)),Tabel33[[#This Row],[organisation type]]=""),$B$176,""),"")</f>
        <v/>
      </c>
    </row>
    <row r="552" spans="1:10" outlineLevel="1" x14ac:dyDescent="0.35">
      <c r="A552" s="217">
        <v>33</v>
      </c>
      <c r="B552" s="217" t="str">
        <f t="array" ref="B552">IFERROR(INDEX(Tabel33[[#This Row],[Empty line]:[organisation name]],1,MATCH(TRUE,LEN(Tabel33[[#This Row],[Empty line]:[organisation name]])&gt;0,0)),"")</f>
        <v/>
      </c>
      <c r="C552" s="113" t="str">
        <f>IFERROR(IF(AND(LEN(INDEX(#REF!,$A552))+LEN(INDEX(#REF!,$A552))+LEN(INDEX(#REF!,$A552))+LEN(INDEX(#REF!,$A552))&gt;0,LEN(INDEX(#REF!,$A552-1))+LEN(INDEX(#REF!,$A552-1))+LEN(INDEX(#REF!,$A552-1))+LEN(INDEX(#REF!,$A552-1))=0),$B$127,""),"")</f>
        <v/>
      </c>
      <c r="D552" s="113" t="str">
        <f>IFERROR(IF(AND(INDEX(#REF!="",$A552),OR(INDEX(#REF!,$A552)&gt;0,INDEX(#REF!,$A552)&gt;0,INDEX(#REF!,$A552)&gt;0,LEN(INDEX(#REF!,$A552))&gt;0)),$B$171,""),"")</f>
        <v/>
      </c>
      <c r="E552" s="113" t="e">
        <f>IF(AND(INDEX(#REF!,A552)&lt;&gt;"",OR(INDEX(#REF!,A552)&lt;=0,INDEX(#REF!,A552)&lt;=0)),INDEX(salaries_academic[],MATCH(INDEX(#REF!,A552),salaries_academic[category],0),2),"")</f>
        <v>#REF!</v>
      </c>
      <c r="F552" s="113" t="str">
        <f>IFERROR(IF(Tabel33[[#This Row],[Instruction]]="",IF(AND(INDEX(#REF!="",A552),OR(INDEX(#REF!,A552)&lt;&gt;"",INDEX(#REF!,A552)&gt;0,INDEX(#REF!,A552)&gt;0,INDEX(#REF!,A552)&gt;0,LEN(INDEX(#REF!,A552))&gt;0)),$B$173,""),""),"")</f>
        <v/>
      </c>
      <c r="G552" s="113" t="e">
        <f>IF(AND(Tabel33[[#This Row],[Instruction]]="",Tabel33[[#This Row],[Country not specified]]=""),IF(AND(INDEX(#REF!,A552)&lt;&gt;"",INDEX(#REF!,A552)&lt;=0),IF(INDEX(salaries_academic[],MATCH(INDEX(#REF!,A552),salaries_academic[category],0),3)="",$B$172,""),""),"")</f>
        <v>#REF!</v>
      </c>
      <c r="H552" s="113" t="str">
        <f>IFERROR(IF(AND(INDEX(salaries_academic[],MATCH(INDEX(#REF!,A552),salaries_academic[category],0),3)&gt;0,INDEX(#REF!,A552)&gt;0),$B$174,""),"")</f>
        <v/>
      </c>
      <c r="I552" s="113" t="str">
        <f>IFERROR(IF(AND(organisation_type="yes",VALUE(INDEX(#REF!,A552))&gt;0,ISBLANK(INDEX(#REF!,A552))),$B$175,""),"")</f>
        <v/>
      </c>
      <c r="J552" s="113" t="str">
        <f>IFERROR(IF(AND(organisation_name="yes",VALUE(INDEX(#REF!,A552))&gt;0,ISBLANK(INDEX(#REF!,A552)),Tabel33[[#This Row],[organisation type]]=""),$B$176,""),"")</f>
        <v/>
      </c>
    </row>
    <row r="553" spans="1:10" outlineLevel="1" x14ac:dyDescent="0.35">
      <c r="A553" s="217">
        <v>34</v>
      </c>
      <c r="B553" s="217" t="str">
        <f t="array" ref="B553">IFERROR(INDEX(Tabel33[[#This Row],[Empty line]:[organisation name]],1,MATCH(TRUE,LEN(Tabel33[[#This Row],[Empty line]:[organisation name]])&gt;0,0)),"")</f>
        <v/>
      </c>
      <c r="C553" s="113" t="str">
        <f>IFERROR(IF(AND(LEN(INDEX(#REF!,$A553))+LEN(INDEX(#REF!,$A553))+LEN(INDEX(#REF!,$A553))+LEN(INDEX(#REF!,$A553))&gt;0,LEN(INDEX(#REF!,$A553-1))+LEN(INDEX(#REF!,$A553-1))+LEN(INDEX(#REF!,$A553-1))+LEN(INDEX(#REF!,$A553-1))=0),$B$127,""),"")</f>
        <v/>
      </c>
      <c r="D553" s="113" t="str">
        <f>IFERROR(IF(AND(INDEX(#REF!="",$A553),OR(INDEX(#REF!,$A553)&gt;0,INDEX(#REF!,$A553)&gt;0,INDEX(#REF!,$A553)&gt;0,LEN(INDEX(#REF!,$A553))&gt;0)),$B$171,""),"")</f>
        <v/>
      </c>
      <c r="E553" s="113" t="e">
        <f>IF(AND(INDEX(#REF!,A553)&lt;&gt;"",OR(INDEX(#REF!,A553)&lt;=0,INDEX(#REF!,A553)&lt;=0)),INDEX(salaries_academic[],MATCH(INDEX(#REF!,A553),salaries_academic[category],0),2),"")</f>
        <v>#REF!</v>
      </c>
      <c r="F553" s="113" t="str">
        <f>IFERROR(IF(Tabel33[[#This Row],[Instruction]]="",IF(AND(INDEX(#REF!="",A553),OR(INDEX(#REF!,A553)&lt;&gt;"",INDEX(#REF!,A553)&gt;0,INDEX(#REF!,A553)&gt;0,INDEX(#REF!,A553)&gt;0,LEN(INDEX(#REF!,A553))&gt;0)),$B$173,""),""),"")</f>
        <v/>
      </c>
      <c r="G553" s="113" t="e">
        <f>IF(AND(Tabel33[[#This Row],[Instruction]]="",Tabel33[[#This Row],[Country not specified]]=""),IF(AND(INDEX(#REF!,A553)&lt;&gt;"",INDEX(#REF!,A553)&lt;=0),IF(INDEX(salaries_academic[],MATCH(INDEX(#REF!,A553),salaries_academic[category],0),3)="",$B$172,""),""),"")</f>
        <v>#REF!</v>
      </c>
      <c r="H553" s="113" t="str">
        <f>IFERROR(IF(AND(INDEX(salaries_academic[],MATCH(INDEX(#REF!,A553),salaries_academic[category],0),3)&gt;0,INDEX(#REF!,A553)&gt;0),$B$174,""),"")</f>
        <v/>
      </c>
      <c r="I553" s="113" t="str">
        <f>IFERROR(IF(AND(organisation_type="yes",VALUE(INDEX(#REF!,A553))&gt;0,ISBLANK(INDEX(#REF!,A553))),$B$175,""),"")</f>
        <v/>
      </c>
      <c r="J553" s="113" t="str">
        <f>IFERROR(IF(AND(organisation_name="yes",VALUE(INDEX(#REF!,A553))&gt;0,ISBLANK(INDEX(#REF!,A553)),Tabel33[[#This Row],[organisation type]]=""),$B$176,""),"")</f>
        <v/>
      </c>
    </row>
    <row r="554" spans="1:10" outlineLevel="1" x14ac:dyDescent="0.35">
      <c r="A554" s="217">
        <v>35</v>
      </c>
      <c r="B554" s="217" t="str">
        <f t="array" ref="B554">IFERROR(INDEX(Tabel33[[#This Row],[Empty line]:[organisation name]],1,MATCH(TRUE,LEN(Tabel33[[#This Row],[Empty line]:[organisation name]])&gt;0,0)),"")</f>
        <v/>
      </c>
      <c r="C554" s="113" t="str">
        <f>IFERROR(IF(AND(LEN(INDEX(#REF!,$A554))+LEN(INDEX(#REF!,$A554))+LEN(INDEX(#REF!,$A554))+LEN(INDEX(#REF!,$A554))&gt;0,LEN(INDEX(#REF!,$A554-1))+LEN(INDEX(#REF!,$A554-1))+LEN(INDEX(#REF!,$A554-1))+LEN(INDEX(#REF!,$A554-1))=0),$B$127,""),"")</f>
        <v/>
      </c>
      <c r="D554" s="113" t="str">
        <f>IFERROR(IF(AND(INDEX(#REF!="",$A554),OR(INDEX(#REF!,$A554)&gt;0,INDEX(#REF!,$A554)&gt;0,INDEX(#REF!,$A554)&gt;0,LEN(INDEX(#REF!,$A554))&gt;0)),$B$171,""),"")</f>
        <v/>
      </c>
      <c r="E554" s="113" t="e">
        <f>IF(AND(INDEX(#REF!,A554)&lt;&gt;"",OR(INDEX(#REF!,A554)&lt;=0,INDEX(#REF!,A554)&lt;=0)),INDEX(salaries_academic[],MATCH(INDEX(#REF!,A554),salaries_academic[category],0),2),"")</f>
        <v>#REF!</v>
      </c>
      <c r="F554" s="113" t="str">
        <f>IFERROR(IF(Tabel33[[#This Row],[Instruction]]="",IF(AND(INDEX(#REF!="",A554),OR(INDEX(#REF!,A554)&lt;&gt;"",INDEX(#REF!,A554)&gt;0,INDEX(#REF!,A554)&gt;0,INDEX(#REF!,A554)&gt;0,LEN(INDEX(#REF!,A554))&gt;0)),$B$173,""),""),"")</f>
        <v/>
      </c>
      <c r="G554" s="113" t="e">
        <f>IF(AND(Tabel33[[#This Row],[Instruction]]="",Tabel33[[#This Row],[Country not specified]]=""),IF(AND(INDEX(#REF!,A554)&lt;&gt;"",INDEX(#REF!,A554)&lt;=0),IF(INDEX(salaries_academic[],MATCH(INDEX(#REF!,A554),salaries_academic[category],0),3)="",$B$172,""),""),"")</f>
        <v>#REF!</v>
      </c>
      <c r="H554" s="113" t="str">
        <f>IFERROR(IF(AND(INDEX(salaries_academic[],MATCH(INDEX(#REF!,A554),salaries_academic[category],0),3)&gt;0,INDEX(#REF!,A554)&gt;0),$B$174,""),"")</f>
        <v/>
      </c>
      <c r="I554" s="113" t="str">
        <f>IFERROR(IF(AND(organisation_type="yes",VALUE(INDEX(#REF!,A554))&gt;0,ISBLANK(INDEX(#REF!,A554))),$B$175,""),"")</f>
        <v/>
      </c>
      <c r="J554" s="113" t="str">
        <f>IFERROR(IF(AND(organisation_name="yes",VALUE(INDEX(#REF!,A554))&gt;0,ISBLANK(INDEX(#REF!,A554)),Tabel33[[#This Row],[organisation type]]=""),$B$176,""),"")</f>
        <v/>
      </c>
    </row>
    <row r="555" spans="1:10" outlineLevel="1" x14ac:dyDescent="0.35">
      <c r="A555" s="217">
        <v>36</v>
      </c>
      <c r="B555" s="217" t="str">
        <f t="array" ref="B555">IFERROR(INDEX(Tabel33[[#This Row],[Empty line]:[organisation name]],1,MATCH(TRUE,LEN(Tabel33[[#This Row],[Empty line]:[organisation name]])&gt;0,0)),"")</f>
        <v/>
      </c>
      <c r="C555" s="113" t="str">
        <f>IFERROR(IF(AND(LEN(INDEX(#REF!,$A555))+LEN(INDEX(#REF!,$A555))+LEN(INDEX(#REF!,$A555))+LEN(INDEX(#REF!,$A555))&gt;0,LEN(INDEX(#REF!,$A555-1))+LEN(INDEX(#REF!,$A555-1))+LEN(INDEX(#REF!,$A555-1))+LEN(INDEX(#REF!,$A555-1))=0),$B$127,""),"")</f>
        <v/>
      </c>
      <c r="D555" s="113" t="str">
        <f>IFERROR(IF(AND(INDEX(#REF!="",$A555),OR(INDEX(#REF!,$A555)&gt;0,INDEX(#REF!,$A555)&gt;0,INDEX(#REF!,$A555)&gt;0,LEN(INDEX(#REF!,$A555))&gt;0)),$B$171,""),"")</f>
        <v/>
      </c>
      <c r="E555" s="113" t="e">
        <f>IF(AND(INDEX(#REF!,A555)&lt;&gt;"",OR(INDEX(#REF!,A555)&lt;=0,INDEX(#REF!,A555)&lt;=0)),INDEX(salaries_academic[],MATCH(INDEX(#REF!,A555),salaries_academic[category],0),2),"")</f>
        <v>#REF!</v>
      </c>
      <c r="F555" s="113" t="str">
        <f>IFERROR(IF(Tabel33[[#This Row],[Instruction]]="",IF(AND(INDEX(#REF!="",A555),OR(INDEX(#REF!,A555)&lt;&gt;"",INDEX(#REF!,A555)&gt;0,INDEX(#REF!,A555)&gt;0,INDEX(#REF!,A555)&gt;0,LEN(INDEX(#REF!,A555))&gt;0)),$B$173,""),""),"")</f>
        <v/>
      </c>
      <c r="G555" s="113" t="e">
        <f>IF(AND(Tabel33[[#This Row],[Instruction]]="",Tabel33[[#This Row],[Country not specified]]=""),IF(AND(INDEX(#REF!,A555)&lt;&gt;"",INDEX(#REF!,A555)&lt;=0),IF(INDEX(salaries_academic[],MATCH(INDEX(#REF!,A555),salaries_academic[category],0),3)="",$B$172,""),""),"")</f>
        <v>#REF!</v>
      </c>
      <c r="H555" s="113" t="str">
        <f>IFERROR(IF(AND(INDEX(salaries_academic[],MATCH(INDEX(#REF!,A555),salaries_academic[category],0),3)&gt;0,INDEX(#REF!,A555)&gt;0),$B$174,""),"")</f>
        <v/>
      </c>
      <c r="I555" s="113" t="str">
        <f>IFERROR(IF(AND(organisation_type="yes",VALUE(INDEX(#REF!,A555))&gt;0,ISBLANK(INDEX(#REF!,A555))),$B$175,""),"")</f>
        <v/>
      </c>
      <c r="J555" s="113" t="str">
        <f>IFERROR(IF(AND(organisation_name="yes",VALUE(INDEX(#REF!,A555))&gt;0,ISBLANK(INDEX(#REF!,A555)),Tabel33[[#This Row],[organisation type]]=""),$B$176,""),"")</f>
        <v/>
      </c>
    </row>
    <row r="556" spans="1:10" outlineLevel="1" x14ac:dyDescent="0.35">
      <c r="A556" s="217">
        <v>37</v>
      </c>
      <c r="B556" s="217" t="str">
        <f t="array" ref="B556">IFERROR(INDEX(Tabel33[[#This Row],[Empty line]:[organisation name]],1,MATCH(TRUE,LEN(Tabel33[[#This Row],[Empty line]:[organisation name]])&gt;0,0)),"")</f>
        <v/>
      </c>
      <c r="C556" s="113" t="str">
        <f>IFERROR(IF(AND(LEN(INDEX(#REF!,$A556))+LEN(INDEX(#REF!,$A556))+LEN(INDEX(#REF!,$A556))+LEN(INDEX(#REF!,$A556))&gt;0,LEN(INDEX(#REF!,$A556-1))+LEN(INDEX(#REF!,$A556-1))+LEN(INDEX(#REF!,$A556-1))+LEN(INDEX(#REF!,$A556-1))=0),$B$127,""),"")</f>
        <v/>
      </c>
      <c r="D556" s="113" t="str">
        <f>IFERROR(IF(AND(INDEX(#REF!="",$A556),OR(INDEX(#REF!,$A556)&gt;0,INDEX(#REF!,$A556)&gt;0,INDEX(#REF!,$A556)&gt;0,LEN(INDEX(#REF!,$A556))&gt;0)),$B$171,""),"")</f>
        <v/>
      </c>
      <c r="E556" s="113" t="e">
        <f>IF(AND(INDEX(#REF!,A556)&lt;&gt;"",OR(INDEX(#REF!,A556)&lt;=0,INDEX(#REF!,A556)&lt;=0)),INDEX(salaries_academic[],MATCH(INDEX(#REF!,A556),salaries_academic[category],0),2),"")</f>
        <v>#REF!</v>
      </c>
      <c r="F556" s="113" t="str">
        <f>IFERROR(IF(Tabel33[[#This Row],[Instruction]]="",IF(AND(INDEX(#REF!="",A556),OR(INDEX(#REF!,A556)&lt;&gt;"",INDEX(#REF!,A556)&gt;0,INDEX(#REF!,A556)&gt;0,INDEX(#REF!,A556)&gt;0,LEN(INDEX(#REF!,A556))&gt;0)),$B$173,""),""),"")</f>
        <v/>
      </c>
      <c r="G556" s="113" t="e">
        <f>IF(AND(Tabel33[[#This Row],[Instruction]]="",Tabel33[[#This Row],[Country not specified]]=""),IF(AND(INDEX(#REF!,A556)&lt;&gt;"",INDEX(#REF!,A556)&lt;=0),IF(INDEX(salaries_academic[],MATCH(INDEX(#REF!,A556),salaries_academic[category],0),3)="",$B$172,""),""),"")</f>
        <v>#REF!</v>
      </c>
      <c r="H556" s="113" t="str">
        <f>IFERROR(IF(AND(INDEX(salaries_academic[],MATCH(INDEX(#REF!,A556),salaries_academic[category],0),3)&gt;0,INDEX(#REF!,A556)&gt;0),$B$174,""),"")</f>
        <v/>
      </c>
      <c r="I556" s="113" t="str">
        <f>IFERROR(IF(AND(organisation_type="yes",VALUE(INDEX(#REF!,A556))&gt;0,ISBLANK(INDEX(#REF!,A556))),$B$175,""),"")</f>
        <v/>
      </c>
      <c r="J556" s="113" t="str">
        <f>IFERROR(IF(AND(organisation_name="yes",VALUE(INDEX(#REF!,A556))&gt;0,ISBLANK(INDEX(#REF!,A556)),Tabel33[[#This Row],[organisation type]]=""),$B$176,""),"")</f>
        <v/>
      </c>
    </row>
    <row r="557" spans="1:10" outlineLevel="1" x14ac:dyDescent="0.35">
      <c r="A557" s="217">
        <v>38</v>
      </c>
      <c r="B557" s="217" t="str">
        <f t="array" ref="B557">IFERROR(INDEX(Tabel33[[#This Row],[Empty line]:[organisation name]],1,MATCH(TRUE,LEN(Tabel33[[#This Row],[Empty line]:[organisation name]])&gt;0,0)),"")</f>
        <v/>
      </c>
      <c r="C557" s="113" t="str">
        <f>IFERROR(IF(AND(LEN(INDEX(#REF!,$A557))+LEN(INDEX(#REF!,$A557))+LEN(INDEX(#REF!,$A557))+LEN(INDEX(#REF!,$A557))&gt;0,LEN(INDEX(#REF!,$A557-1))+LEN(INDEX(#REF!,$A557-1))+LEN(INDEX(#REF!,$A557-1))+LEN(INDEX(#REF!,$A557-1))=0),$B$127,""),"")</f>
        <v/>
      </c>
      <c r="D557" s="113" t="str">
        <f>IFERROR(IF(AND(INDEX(#REF!="",$A557),OR(INDEX(#REF!,$A557)&gt;0,INDEX(#REF!,$A557)&gt;0,INDEX(#REF!,$A557)&gt;0,LEN(INDEX(#REF!,$A557))&gt;0)),$B$171,""),"")</f>
        <v/>
      </c>
      <c r="E557" s="113" t="e">
        <f>IF(AND(INDEX(#REF!,A557)&lt;&gt;"",OR(INDEX(#REF!,A557)&lt;=0,INDEX(#REF!,A557)&lt;=0)),INDEX(salaries_academic[],MATCH(INDEX(#REF!,A557),salaries_academic[category],0),2),"")</f>
        <v>#REF!</v>
      </c>
      <c r="F557" s="113" t="str">
        <f>IFERROR(IF(Tabel33[[#This Row],[Instruction]]="",IF(AND(INDEX(#REF!="",A557),OR(INDEX(#REF!,A557)&lt;&gt;"",INDEX(#REF!,A557)&gt;0,INDEX(#REF!,A557)&gt;0,INDEX(#REF!,A557)&gt;0,LEN(INDEX(#REF!,A557))&gt;0)),$B$173,""),""),"")</f>
        <v/>
      </c>
      <c r="G557" s="113" t="e">
        <f>IF(AND(Tabel33[[#This Row],[Instruction]]="",Tabel33[[#This Row],[Country not specified]]=""),IF(AND(INDEX(#REF!,A557)&lt;&gt;"",INDEX(#REF!,A557)&lt;=0),IF(INDEX(salaries_academic[],MATCH(INDEX(#REF!,A557),salaries_academic[category],0),3)="",$B$172,""),""),"")</f>
        <v>#REF!</v>
      </c>
      <c r="H557" s="113" t="str">
        <f>IFERROR(IF(AND(INDEX(salaries_academic[],MATCH(INDEX(#REF!,A557),salaries_academic[category],0),3)&gt;0,INDEX(#REF!,A557)&gt;0),$B$174,""),"")</f>
        <v/>
      </c>
      <c r="I557" s="113" t="str">
        <f>IFERROR(IF(AND(organisation_type="yes",VALUE(INDEX(#REF!,A557))&gt;0,ISBLANK(INDEX(#REF!,A557))),$B$175,""),"")</f>
        <v/>
      </c>
      <c r="J557" s="113" t="str">
        <f>IFERROR(IF(AND(organisation_name="yes",VALUE(INDEX(#REF!,A557))&gt;0,ISBLANK(INDEX(#REF!,A557)),Tabel33[[#This Row],[organisation type]]=""),$B$176,""),"")</f>
        <v/>
      </c>
    </row>
    <row r="558" spans="1:10" outlineLevel="1" x14ac:dyDescent="0.35">
      <c r="A558" s="217">
        <v>39</v>
      </c>
      <c r="B558" s="217" t="str">
        <f t="array" ref="B558">IFERROR(INDEX(Tabel33[[#This Row],[Empty line]:[organisation name]],1,MATCH(TRUE,LEN(Tabel33[[#This Row],[Empty line]:[organisation name]])&gt;0,0)),"")</f>
        <v/>
      </c>
      <c r="C558" s="113" t="str">
        <f>IFERROR(IF(AND(LEN(INDEX(#REF!,$A558))+LEN(INDEX(#REF!,$A558))+LEN(INDEX(#REF!,$A558))+LEN(INDEX(#REF!,$A558))&gt;0,LEN(INDEX(#REF!,$A558-1))+LEN(INDEX(#REF!,$A558-1))+LEN(INDEX(#REF!,$A558-1))+LEN(INDEX(#REF!,$A558-1))=0),$B$127,""),"")</f>
        <v/>
      </c>
      <c r="D558" s="113" t="str">
        <f>IFERROR(IF(AND(INDEX(#REF!="",$A558),OR(INDEX(#REF!,$A558)&gt;0,INDEX(#REF!,$A558)&gt;0,INDEX(#REF!,$A558)&gt;0,LEN(INDEX(#REF!,$A558))&gt;0)),$B$171,""),"")</f>
        <v/>
      </c>
      <c r="E558" s="113" t="e">
        <f>IF(AND(INDEX(#REF!,A558)&lt;&gt;"",OR(INDEX(#REF!,A558)&lt;=0,INDEX(#REF!,A558)&lt;=0)),INDEX(salaries_academic[],MATCH(INDEX(#REF!,A558),salaries_academic[category],0),2),"")</f>
        <v>#REF!</v>
      </c>
      <c r="F558" s="113" t="str">
        <f>IFERROR(IF(Tabel33[[#This Row],[Instruction]]="",IF(AND(INDEX(#REF!="",A558),OR(INDEX(#REF!,A558)&lt;&gt;"",INDEX(#REF!,A558)&gt;0,INDEX(#REF!,A558)&gt;0,INDEX(#REF!,A558)&gt;0,LEN(INDEX(#REF!,A558))&gt;0)),$B$173,""),""),"")</f>
        <v/>
      </c>
      <c r="G558" s="113" t="e">
        <f>IF(AND(Tabel33[[#This Row],[Instruction]]="",Tabel33[[#This Row],[Country not specified]]=""),IF(AND(INDEX(#REF!,A558)&lt;&gt;"",INDEX(#REF!,A558)&lt;=0),IF(INDEX(salaries_academic[],MATCH(INDEX(#REF!,A558),salaries_academic[category],0),3)="",$B$172,""),""),"")</f>
        <v>#REF!</v>
      </c>
      <c r="H558" s="113" t="str">
        <f>IFERROR(IF(AND(INDEX(salaries_academic[],MATCH(INDEX(#REF!,A558),salaries_academic[category],0),3)&gt;0,INDEX(#REF!,A558)&gt;0),$B$174,""),"")</f>
        <v/>
      </c>
      <c r="I558" s="113" t="str">
        <f>IFERROR(IF(AND(organisation_type="yes",VALUE(INDEX(#REF!,A558))&gt;0,ISBLANK(INDEX(#REF!,A558))),$B$175,""),"")</f>
        <v/>
      </c>
      <c r="J558" s="113" t="str">
        <f>IFERROR(IF(AND(organisation_name="yes",VALUE(INDEX(#REF!,A558))&gt;0,ISBLANK(INDEX(#REF!,A558)),Tabel33[[#This Row],[organisation type]]=""),$B$176,""),"")</f>
        <v/>
      </c>
    </row>
    <row r="559" spans="1:10" outlineLevel="1" x14ac:dyDescent="0.35">
      <c r="A559" s="217">
        <v>40</v>
      </c>
      <c r="B559" s="217" t="str">
        <f t="array" ref="B559">IFERROR(INDEX(Tabel33[[#This Row],[Empty line]:[organisation name]],1,MATCH(TRUE,LEN(Tabel33[[#This Row],[Empty line]:[organisation name]])&gt;0,0)),"")</f>
        <v/>
      </c>
      <c r="C559" s="113" t="str">
        <f>IFERROR(IF(AND(LEN(INDEX(#REF!,$A559))+LEN(INDEX(#REF!,$A559))+LEN(INDEX(#REF!,$A559))+LEN(INDEX(#REF!,$A559))&gt;0,LEN(INDEX(#REF!,$A559-1))+LEN(INDEX(#REF!,$A559-1))+LEN(INDEX(#REF!,$A559-1))+LEN(INDEX(#REF!,$A559-1))=0),$B$127,""),"")</f>
        <v/>
      </c>
      <c r="D559" s="113" t="str">
        <f>IFERROR(IF(AND(INDEX(#REF!="",$A559),OR(INDEX(#REF!,$A559)&gt;0,INDEX(#REF!,$A559)&gt;0,INDEX(#REF!,$A559)&gt;0,LEN(INDEX(#REF!,$A559))&gt;0)),$B$171,""),"")</f>
        <v/>
      </c>
      <c r="E559" s="113" t="e">
        <f>IF(AND(INDEX(#REF!,A559)&lt;&gt;"",OR(INDEX(#REF!,A559)&lt;=0,INDEX(#REF!,A559)&lt;=0)),INDEX(salaries_academic[],MATCH(INDEX(#REF!,A559),salaries_academic[category],0),2),"")</f>
        <v>#REF!</v>
      </c>
      <c r="F559" s="113" t="str">
        <f>IFERROR(IF(Tabel33[[#This Row],[Instruction]]="",IF(AND(INDEX(#REF!="",A559),OR(INDEX(#REF!,A559)&lt;&gt;"",INDEX(#REF!,A559)&gt;0,INDEX(#REF!,A559)&gt;0,INDEX(#REF!,A559)&gt;0,LEN(INDEX(#REF!,A559))&gt;0)),$B$173,""),""),"")</f>
        <v/>
      </c>
      <c r="G559" s="113" t="e">
        <f>IF(AND(Tabel33[[#This Row],[Instruction]]="",Tabel33[[#This Row],[Country not specified]]=""),IF(AND(INDEX(#REF!,A559)&lt;&gt;"",INDEX(#REF!,A559)&lt;=0),IF(INDEX(salaries_academic[],MATCH(INDEX(#REF!,A559),salaries_academic[category],0),3)="",$B$172,""),""),"")</f>
        <v>#REF!</v>
      </c>
      <c r="H559" s="113" t="str">
        <f>IFERROR(IF(AND(INDEX(salaries_academic[],MATCH(INDEX(#REF!,A559),salaries_academic[category],0),3)&gt;0,INDEX(#REF!,A559)&gt;0),$B$174,""),"")</f>
        <v/>
      </c>
      <c r="I559" s="113" t="str">
        <f>IFERROR(IF(AND(organisation_type="yes",VALUE(INDEX(#REF!,A559))&gt;0,ISBLANK(INDEX(#REF!,A559))),$B$175,""),"")</f>
        <v/>
      </c>
      <c r="J559" s="113" t="str">
        <f>IFERROR(IF(AND(organisation_name="yes",VALUE(INDEX(#REF!,A559))&gt;0,ISBLANK(INDEX(#REF!,A559)),Tabel33[[#This Row],[organisation type]]=""),$B$176,""),"")</f>
        <v/>
      </c>
    </row>
    <row r="560" spans="1:10" outlineLevel="1" x14ac:dyDescent="0.35">
      <c r="A560" s="217">
        <v>41</v>
      </c>
      <c r="B560" s="217" t="str">
        <f t="array" ref="B560">IFERROR(INDEX(Tabel33[[#This Row],[Empty line]:[organisation name]],1,MATCH(TRUE,LEN(Tabel33[[#This Row],[Empty line]:[organisation name]])&gt;0,0)),"")</f>
        <v/>
      </c>
      <c r="C560" s="113" t="str">
        <f>IFERROR(IF(AND(LEN(INDEX(#REF!,$A560))+LEN(INDEX(#REF!,$A560))+LEN(INDEX(#REF!,$A560))+LEN(INDEX(#REF!,$A560))&gt;0,LEN(INDEX(#REF!,$A560-1))+LEN(INDEX(#REF!,$A560-1))+LEN(INDEX(#REF!,$A560-1))+LEN(INDEX(#REF!,$A560-1))=0),$B$127,""),"")</f>
        <v/>
      </c>
      <c r="D560" s="113" t="str">
        <f>IFERROR(IF(AND(INDEX(#REF!="",$A560),OR(INDEX(#REF!,$A560)&gt;0,INDEX(#REF!,$A560)&gt;0,INDEX(#REF!,$A560)&gt;0,LEN(INDEX(#REF!,$A560))&gt;0)),$B$171,""),"")</f>
        <v/>
      </c>
      <c r="E560" s="113" t="e">
        <f>IF(AND(INDEX(#REF!,A560)&lt;&gt;"",OR(INDEX(#REF!,A560)&lt;=0,INDEX(#REF!,A560)&lt;=0)),INDEX(salaries_academic[],MATCH(INDEX(#REF!,A560),salaries_academic[category],0),2),"")</f>
        <v>#REF!</v>
      </c>
      <c r="F560" s="113" t="str">
        <f>IFERROR(IF(Tabel33[[#This Row],[Instruction]]="",IF(AND(INDEX(#REF!="",A560),OR(INDEX(#REF!,A560)&lt;&gt;"",INDEX(#REF!,A560)&gt;0,INDEX(#REF!,A560)&gt;0,INDEX(#REF!,A560)&gt;0,LEN(INDEX(#REF!,A560))&gt;0)),$B$173,""),""),"")</f>
        <v/>
      </c>
      <c r="G560" s="113" t="e">
        <f>IF(AND(Tabel33[[#This Row],[Instruction]]="",Tabel33[[#This Row],[Country not specified]]=""),IF(AND(INDEX(#REF!,A560)&lt;&gt;"",INDEX(#REF!,A560)&lt;=0),IF(INDEX(salaries_academic[],MATCH(INDEX(#REF!,A560),salaries_academic[category],0),3)="",$B$172,""),""),"")</f>
        <v>#REF!</v>
      </c>
      <c r="H560" s="113" t="str">
        <f>IFERROR(IF(AND(INDEX(salaries_academic[],MATCH(INDEX(#REF!,A560),salaries_academic[category],0),3)&gt;0,INDEX(#REF!,A560)&gt;0),$B$174,""),"")</f>
        <v/>
      </c>
      <c r="I560" s="113" t="str">
        <f>IFERROR(IF(AND(organisation_type="yes",VALUE(INDEX(#REF!,A560))&gt;0,ISBLANK(INDEX(#REF!,A560))),$B$175,""),"")</f>
        <v/>
      </c>
      <c r="J560" s="113" t="str">
        <f>IFERROR(IF(AND(organisation_name="yes",VALUE(INDEX(#REF!,A560))&gt;0,ISBLANK(INDEX(#REF!,A560)),Tabel33[[#This Row],[organisation type]]=""),$B$176,""),"")</f>
        <v/>
      </c>
    </row>
    <row r="561" spans="1:10" outlineLevel="1" x14ac:dyDescent="0.35">
      <c r="A561" s="217">
        <v>42</v>
      </c>
      <c r="B561" s="217" t="str">
        <f t="array" ref="B561">IFERROR(INDEX(Tabel33[[#This Row],[Empty line]:[organisation name]],1,MATCH(TRUE,LEN(Tabel33[[#This Row],[Empty line]:[organisation name]])&gt;0,0)),"")</f>
        <v/>
      </c>
      <c r="C561" s="113" t="str">
        <f>IFERROR(IF(AND(LEN(INDEX(#REF!,$A561))+LEN(INDEX(#REF!,$A561))+LEN(INDEX(#REF!,$A561))+LEN(INDEX(#REF!,$A561))&gt;0,LEN(INDEX(#REF!,$A561-1))+LEN(INDEX(#REF!,$A561-1))+LEN(INDEX(#REF!,$A561-1))+LEN(INDEX(#REF!,$A561-1))=0),$B$127,""),"")</f>
        <v/>
      </c>
      <c r="D561" s="113" t="str">
        <f>IFERROR(IF(AND(INDEX(#REF!="",$A561),OR(INDEX(#REF!,$A561)&gt;0,INDEX(#REF!,$A561)&gt;0,INDEX(#REF!,$A561)&gt;0,LEN(INDEX(#REF!,$A561))&gt;0)),$B$171,""),"")</f>
        <v/>
      </c>
      <c r="E561" s="113" t="e">
        <f>IF(AND(INDEX(#REF!,A561)&lt;&gt;"",OR(INDEX(#REF!,A561)&lt;=0,INDEX(#REF!,A561)&lt;=0)),INDEX(salaries_academic[],MATCH(INDEX(#REF!,A561),salaries_academic[category],0),2),"")</f>
        <v>#REF!</v>
      </c>
      <c r="F561" s="113" t="str">
        <f>IFERROR(IF(Tabel33[[#This Row],[Instruction]]="",IF(AND(INDEX(#REF!="",A561),OR(INDEX(#REF!,A561)&lt;&gt;"",INDEX(#REF!,A561)&gt;0,INDEX(#REF!,A561)&gt;0,INDEX(#REF!,A561)&gt;0,LEN(INDEX(#REF!,A561))&gt;0)),$B$173,""),""),"")</f>
        <v/>
      </c>
      <c r="G561" s="113" t="e">
        <f>IF(AND(Tabel33[[#This Row],[Instruction]]="",Tabel33[[#This Row],[Country not specified]]=""),IF(AND(INDEX(#REF!,A561)&lt;&gt;"",INDEX(#REF!,A561)&lt;=0),IF(INDEX(salaries_academic[],MATCH(INDEX(#REF!,A561),salaries_academic[category],0),3)="",$B$172,""),""),"")</f>
        <v>#REF!</v>
      </c>
      <c r="H561" s="113" t="str">
        <f>IFERROR(IF(AND(INDEX(salaries_academic[],MATCH(INDEX(#REF!,A561),salaries_academic[category],0),3)&gt;0,INDEX(#REF!,A561)&gt;0),$B$174,""),"")</f>
        <v/>
      </c>
      <c r="I561" s="113" t="str">
        <f>IFERROR(IF(AND(organisation_type="yes",VALUE(INDEX(#REF!,A561))&gt;0,ISBLANK(INDEX(#REF!,A561))),$B$175,""),"")</f>
        <v/>
      </c>
      <c r="J561" s="113" t="str">
        <f>IFERROR(IF(AND(organisation_name="yes",VALUE(INDEX(#REF!,A561))&gt;0,ISBLANK(INDEX(#REF!,A561)),Tabel33[[#This Row],[organisation type]]=""),$B$176,""),"")</f>
        <v/>
      </c>
    </row>
    <row r="562" spans="1:10" outlineLevel="1" x14ac:dyDescent="0.35">
      <c r="A562" s="217">
        <v>43</v>
      </c>
      <c r="B562" s="217" t="str">
        <f t="array" ref="B562">IFERROR(INDEX(Tabel33[[#This Row],[Empty line]:[organisation name]],1,MATCH(TRUE,LEN(Tabel33[[#This Row],[Empty line]:[organisation name]])&gt;0,0)),"")</f>
        <v/>
      </c>
      <c r="C562" s="113" t="str">
        <f>IFERROR(IF(AND(LEN(INDEX(#REF!,$A562))+LEN(INDEX(#REF!,$A562))+LEN(INDEX(#REF!,$A562))+LEN(INDEX(#REF!,$A562))&gt;0,LEN(INDEX(#REF!,$A562-1))+LEN(INDEX(#REF!,$A562-1))+LEN(INDEX(#REF!,$A562-1))+LEN(INDEX(#REF!,$A562-1))=0),$B$127,""),"")</f>
        <v/>
      </c>
      <c r="D562" s="113" t="str">
        <f>IFERROR(IF(AND(INDEX(#REF!="",$A562),OR(INDEX(#REF!,$A562)&gt;0,INDEX(#REF!,$A562)&gt;0,INDEX(#REF!,$A562)&gt;0,LEN(INDEX(#REF!,$A562))&gt;0)),$B$171,""),"")</f>
        <v/>
      </c>
      <c r="E562" s="113" t="e">
        <f>IF(AND(INDEX(#REF!,A562)&lt;&gt;"",OR(INDEX(#REF!,A562)&lt;=0,INDEX(#REF!,A562)&lt;=0)),INDEX(salaries_academic[],MATCH(INDEX(#REF!,A562),salaries_academic[category],0),2),"")</f>
        <v>#REF!</v>
      </c>
      <c r="F562" s="113" t="str">
        <f>IFERROR(IF(Tabel33[[#This Row],[Instruction]]="",IF(AND(INDEX(#REF!="",A562),OR(INDEX(#REF!,A562)&lt;&gt;"",INDEX(#REF!,A562)&gt;0,INDEX(#REF!,A562)&gt;0,INDEX(#REF!,A562)&gt;0,LEN(INDEX(#REF!,A562))&gt;0)),$B$173,""),""),"")</f>
        <v/>
      </c>
      <c r="G562" s="113" t="e">
        <f>IF(AND(Tabel33[[#This Row],[Instruction]]="",Tabel33[[#This Row],[Country not specified]]=""),IF(AND(INDEX(#REF!,A562)&lt;&gt;"",INDEX(#REF!,A562)&lt;=0),IF(INDEX(salaries_academic[],MATCH(INDEX(#REF!,A562),salaries_academic[category],0),3)="",$B$172,""),""),"")</f>
        <v>#REF!</v>
      </c>
      <c r="H562" s="113" t="str">
        <f>IFERROR(IF(AND(INDEX(salaries_academic[],MATCH(INDEX(#REF!,A562),salaries_academic[category],0),3)&gt;0,INDEX(#REF!,A562)&gt;0),$B$174,""),"")</f>
        <v/>
      </c>
      <c r="I562" s="113" t="str">
        <f>IFERROR(IF(AND(organisation_type="yes",VALUE(INDEX(#REF!,A562))&gt;0,ISBLANK(INDEX(#REF!,A562))),$B$175,""),"")</f>
        <v/>
      </c>
      <c r="J562" s="113" t="str">
        <f>IFERROR(IF(AND(organisation_name="yes",VALUE(INDEX(#REF!,A562))&gt;0,ISBLANK(INDEX(#REF!,A562)),Tabel33[[#This Row],[organisation type]]=""),$B$176,""),"")</f>
        <v/>
      </c>
    </row>
    <row r="563" spans="1:10" outlineLevel="1" x14ac:dyDescent="0.35">
      <c r="A563" s="217">
        <v>44</v>
      </c>
      <c r="B563" s="217" t="str">
        <f t="array" ref="B563">IFERROR(INDEX(Tabel33[[#This Row],[Empty line]:[organisation name]],1,MATCH(TRUE,LEN(Tabel33[[#This Row],[Empty line]:[organisation name]])&gt;0,0)),"")</f>
        <v/>
      </c>
      <c r="C563" s="113" t="str">
        <f>IFERROR(IF(AND(LEN(INDEX(#REF!,$A563))+LEN(INDEX(#REF!,$A563))+LEN(INDEX(#REF!,$A563))+LEN(INDEX(#REF!,$A563))&gt;0,LEN(INDEX(#REF!,$A563-1))+LEN(INDEX(#REF!,$A563-1))+LEN(INDEX(#REF!,$A563-1))+LEN(INDEX(#REF!,$A563-1))=0),$B$127,""),"")</f>
        <v/>
      </c>
      <c r="D563" s="113" t="str">
        <f>IFERROR(IF(AND(INDEX(#REF!="",$A563),OR(INDEX(#REF!,$A563)&gt;0,INDEX(#REF!,$A563)&gt;0,INDEX(#REF!,$A563)&gt;0,LEN(INDEX(#REF!,$A563))&gt;0)),$B$171,""),"")</f>
        <v/>
      </c>
      <c r="E563" s="113" t="e">
        <f>IF(AND(INDEX(#REF!,A563)&lt;&gt;"",OR(INDEX(#REF!,A563)&lt;=0,INDEX(#REF!,A563)&lt;=0)),INDEX(salaries_academic[],MATCH(INDEX(#REF!,A563),salaries_academic[category],0),2),"")</f>
        <v>#REF!</v>
      </c>
      <c r="F563" s="113" t="str">
        <f>IFERROR(IF(Tabel33[[#This Row],[Instruction]]="",IF(AND(INDEX(#REF!="",A563),OR(INDEX(#REF!,A563)&lt;&gt;"",INDEX(#REF!,A563)&gt;0,INDEX(#REF!,A563)&gt;0,INDEX(#REF!,A563)&gt;0,LEN(INDEX(#REF!,A563))&gt;0)),$B$173,""),""),"")</f>
        <v/>
      </c>
      <c r="G563" s="113" t="e">
        <f>IF(AND(Tabel33[[#This Row],[Instruction]]="",Tabel33[[#This Row],[Country not specified]]=""),IF(AND(INDEX(#REF!,A563)&lt;&gt;"",INDEX(#REF!,A563)&lt;=0),IF(INDEX(salaries_academic[],MATCH(INDEX(#REF!,A563),salaries_academic[category],0),3)="",$B$172,""),""),"")</f>
        <v>#REF!</v>
      </c>
      <c r="H563" s="113" t="str">
        <f>IFERROR(IF(AND(INDEX(salaries_academic[],MATCH(INDEX(#REF!,A563),salaries_academic[category],0),3)&gt;0,INDEX(#REF!,A563)&gt;0),$B$174,""),"")</f>
        <v/>
      </c>
      <c r="I563" s="113" t="str">
        <f>IFERROR(IF(AND(organisation_type="yes",VALUE(INDEX(#REF!,A563))&gt;0,ISBLANK(INDEX(#REF!,A563))),$B$175,""),"")</f>
        <v/>
      </c>
      <c r="J563" s="113" t="str">
        <f>IFERROR(IF(AND(organisation_name="yes",VALUE(INDEX(#REF!,A563))&gt;0,ISBLANK(INDEX(#REF!,A563)),Tabel33[[#This Row],[organisation type]]=""),$B$176,""),"")</f>
        <v/>
      </c>
    </row>
    <row r="564" spans="1:10" outlineLevel="1" x14ac:dyDescent="0.35">
      <c r="A564" s="217">
        <v>45</v>
      </c>
      <c r="B564" s="217" t="str">
        <f t="array" ref="B564">IFERROR(INDEX(Tabel33[[#This Row],[Empty line]:[organisation name]],1,MATCH(TRUE,LEN(Tabel33[[#This Row],[Empty line]:[organisation name]])&gt;0,0)),"")</f>
        <v/>
      </c>
      <c r="C564" s="113" t="str">
        <f>IFERROR(IF(AND(LEN(INDEX(#REF!,$A564))+LEN(INDEX(#REF!,$A564))+LEN(INDEX(#REF!,$A564))+LEN(INDEX(#REF!,$A564))&gt;0,LEN(INDEX(#REF!,$A564-1))+LEN(INDEX(#REF!,$A564-1))+LEN(INDEX(#REF!,$A564-1))+LEN(INDEX(#REF!,$A564-1))=0),$B$127,""),"")</f>
        <v/>
      </c>
      <c r="D564" s="113" t="str">
        <f>IFERROR(IF(AND(INDEX(#REF!="",$A564),OR(INDEX(#REF!,$A564)&gt;0,INDEX(#REF!,$A564)&gt;0,INDEX(#REF!,$A564)&gt;0,LEN(INDEX(#REF!,$A564))&gt;0)),$B$171,""),"")</f>
        <v/>
      </c>
      <c r="E564" s="113" t="e">
        <f>IF(AND(INDEX(#REF!,A564)&lt;&gt;"",OR(INDEX(#REF!,A564)&lt;=0,INDEX(#REF!,A564)&lt;=0)),INDEX(salaries_academic[],MATCH(INDEX(#REF!,A564),salaries_academic[category],0),2),"")</f>
        <v>#REF!</v>
      </c>
      <c r="F564" s="113" t="str">
        <f>IFERROR(IF(Tabel33[[#This Row],[Instruction]]="",IF(AND(INDEX(#REF!="",A564),OR(INDEX(#REF!,A564)&lt;&gt;"",INDEX(#REF!,A564)&gt;0,INDEX(#REF!,A564)&gt;0,INDEX(#REF!,A564)&gt;0,LEN(INDEX(#REF!,A564))&gt;0)),$B$173,""),""),"")</f>
        <v/>
      </c>
      <c r="G564" s="113" t="e">
        <f>IF(AND(Tabel33[[#This Row],[Instruction]]="",Tabel33[[#This Row],[Country not specified]]=""),IF(AND(INDEX(#REF!,A564)&lt;&gt;"",INDEX(#REF!,A564)&lt;=0),IF(INDEX(salaries_academic[],MATCH(INDEX(#REF!,A564),salaries_academic[category],0),3)="",$B$172,""),""),"")</f>
        <v>#REF!</v>
      </c>
      <c r="H564" s="113" t="str">
        <f>IFERROR(IF(AND(INDEX(salaries_academic[],MATCH(INDEX(#REF!,A564),salaries_academic[category],0),3)&gt;0,INDEX(#REF!,A564)&gt;0),$B$174,""),"")</f>
        <v/>
      </c>
      <c r="I564" s="113" t="str">
        <f>IFERROR(IF(AND(organisation_type="yes",VALUE(INDEX(#REF!,A564))&gt;0,ISBLANK(INDEX(#REF!,A564))),$B$175,""),"")</f>
        <v/>
      </c>
      <c r="J564" s="113" t="str">
        <f>IFERROR(IF(AND(organisation_name="yes",VALUE(INDEX(#REF!,A564))&gt;0,ISBLANK(INDEX(#REF!,A564)),Tabel33[[#This Row],[organisation type]]=""),$B$176,""),"")</f>
        <v/>
      </c>
    </row>
    <row r="565" spans="1:10" outlineLevel="1" x14ac:dyDescent="0.35">
      <c r="A565" s="217">
        <v>46</v>
      </c>
      <c r="B565" s="217" t="str">
        <f t="array" ref="B565">IFERROR(INDEX(Tabel33[[#This Row],[Empty line]:[organisation name]],1,MATCH(TRUE,LEN(Tabel33[[#This Row],[Empty line]:[organisation name]])&gt;0,0)),"")</f>
        <v/>
      </c>
      <c r="C565" s="113" t="str">
        <f>IFERROR(IF(AND(LEN(INDEX(#REF!,$A565))+LEN(INDEX(#REF!,$A565))+LEN(INDEX(#REF!,$A565))+LEN(INDEX(#REF!,$A565))&gt;0,LEN(INDEX(#REF!,$A565-1))+LEN(INDEX(#REF!,$A565-1))+LEN(INDEX(#REF!,$A565-1))+LEN(INDEX(#REF!,$A565-1))=0),$B$127,""),"")</f>
        <v/>
      </c>
      <c r="D565" s="113" t="str">
        <f>IFERROR(IF(AND(INDEX(#REF!="",$A565),OR(INDEX(#REF!,$A565)&gt;0,INDEX(#REF!,$A565)&gt;0,INDEX(#REF!,$A565)&gt;0,LEN(INDEX(#REF!,$A565))&gt;0)),$B$171,""),"")</f>
        <v/>
      </c>
      <c r="E565" s="113" t="e">
        <f>IF(AND(INDEX(#REF!,A565)&lt;&gt;"",OR(INDEX(#REF!,A565)&lt;=0,INDEX(#REF!,A565)&lt;=0)),INDEX(salaries_academic[],MATCH(INDEX(#REF!,A565),salaries_academic[category],0),2),"")</f>
        <v>#REF!</v>
      </c>
      <c r="F565" s="113" t="str">
        <f>IFERROR(IF(Tabel33[[#This Row],[Instruction]]="",IF(AND(INDEX(#REF!="",A565),OR(INDEX(#REF!,A565)&lt;&gt;"",INDEX(#REF!,A565)&gt;0,INDEX(#REF!,A565)&gt;0,INDEX(#REF!,A565)&gt;0,LEN(INDEX(#REF!,A565))&gt;0)),$B$173,""),""),"")</f>
        <v/>
      </c>
      <c r="G565" s="113" t="e">
        <f>IF(AND(Tabel33[[#This Row],[Instruction]]="",Tabel33[[#This Row],[Country not specified]]=""),IF(AND(INDEX(#REF!,A565)&lt;&gt;"",INDEX(#REF!,A565)&lt;=0),IF(INDEX(salaries_academic[],MATCH(INDEX(#REF!,A565),salaries_academic[category],0),3)="",$B$172,""),""),"")</f>
        <v>#REF!</v>
      </c>
      <c r="H565" s="113" t="str">
        <f>IFERROR(IF(AND(INDEX(salaries_academic[],MATCH(INDEX(#REF!,A565),salaries_academic[category],0),3)&gt;0,INDEX(#REF!,A565)&gt;0),$B$174,""),"")</f>
        <v/>
      </c>
      <c r="I565" s="113" t="str">
        <f>IFERROR(IF(AND(organisation_type="yes",VALUE(INDEX(#REF!,A565))&gt;0,ISBLANK(INDEX(#REF!,A565))),$B$175,""),"")</f>
        <v/>
      </c>
      <c r="J565" s="113" t="str">
        <f>IFERROR(IF(AND(organisation_name="yes",VALUE(INDEX(#REF!,A565))&gt;0,ISBLANK(INDEX(#REF!,A565)),Tabel33[[#This Row],[organisation type]]=""),$B$176,""),"")</f>
        <v/>
      </c>
    </row>
    <row r="566" spans="1:10" outlineLevel="1" x14ac:dyDescent="0.35">
      <c r="A566" s="217">
        <v>47</v>
      </c>
      <c r="B566" s="217" t="str">
        <f t="array" ref="B566">IFERROR(INDEX(Tabel33[[#This Row],[Empty line]:[organisation name]],1,MATCH(TRUE,LEN(Tabel33[[#This Row],[Empty line]:[organisation name]])&gt;0,0)),"")</f>
        <v/>
      </c>
      <c r="C566" s="113" t="str">
        <f>IFERROR(IF(AND(LEN(INDEX(#REF!,$A566))+LEN(INDEX(#REF!,$A566))+LEN(INDEX(#REF!,$A566))+LEN(INDEX(#REF!,$A566))&gt;0,LEN(INDEX(#REF!,$A566-1))+LEN(INDEX(#REF!,$A566-1))+LEN(INDEX(#REF!,$A566-1))+LEN(INDEX(#REF!,$A566-1))=0),$B$127,""),"")</f>
        <v/>
      </c>
      <c r="D566" s="113" t="str">
        <f>IFERROR(IF(AND(INDEX(#REF!="",$A566),OR(INDEX(#REF!,$A566)&gt;0,INDEX(#REF!,$A566)&gt;0,INDEX(#REF!,$A566)&gt;0,LEN(INDEX(#REF!,$A566))&gt;0)),$B$171,""),"")</f>
        <v/>
      </c>
      <c r="E566" s="113" t="e">
        <f>IF(AND(INDEX(#REF!,A566)&lt;&gt;"",OR(INDEX(#REF!,A566)&lt;=0,INDEX(#REF!,A566)&lt;=0)),INDEX(salaries_academic[],MATCH(INDEX(#REF!,A566),salaries_academic[category],0),2),"")</f>
        <v>#REF!</v>
      </c>
      <c r="F566" s="113" t="str">
        <f>IFERROR(IF(Tabel33[[#This Row],[Instruction]]="",IF(AND(INDEX(#REF!="",A566),OR(INDEX(#REF!,A566)&lt;&gt;"",INDEX(#REF!,A566)&gt;0,INDEX(#REF!,A566)&gt;0,INDEX(#REF!,A566)&gt;0,LEN(INDEX(#REF!,A566))&gt;0)),$B$173,""),""),"")</f>
        <v/>
      </c>
      <c r="G566" s="113" t="e">
        <f>IF(AND(Tabel33[[#This Row],[Instruction]]="",Tabel33[[#This Row],[Country not specified]]=""),IF(AND(INDEX(#REF!,A566)&lt;&gt;"",INDEX(#REF!,A566)&lt;=0),IF(INDEX(salaries_academic[],MATCH(INDEX(#REF!,A566),salaries_academic[category],0),3)="",$B$172,""),""),"")</f>
        <v>#REF!</v>
      </c>
      <c r="H566" s="113" t="str">
        <f>IFERROR(IF(AND(INDEX(salaries_academic[],MATCH(INDEX(#REF!,A566),salaries_academic[category],0),3)&gt;0,INDEX(#REF!,A566)&gt;0),$B$174,""),"")</f>
        <v/>
      </c>
      <c r="I566" s="113" t="str">
        <f>IFERROR(IF(AND(organisation_type="yes",VALUE(INDEX(#REF!,A566))&gt;0,ISBLANK(INDEX(#REF!,A566))),$B$175,""),"")</f>
        <v/>
      </c>
      <c r="J566" s="113" t="str">
        <f>IFERROR(IF(AND(organisation_name="yes",VALUE(INDEX(#REF!,A566))&gt;0,ISBLANK(INDEX(#REF!,A566)),Tabel33[[#This Row],[organisation type]]=""),$B$176,""),"")</f>
        <v/>
      </c>
    </row>
    <row r="567" spans="1:10" outlineLevel="1" x14ac:dyDescent="0.35">
      <c r="A567" s="217">
        <v>48</v>
      </c>
      <c r="B567" s="217" t="str">
        <f t="array" ref="B567">IFERROR(INDEX(Tabel33[[#This Row],[Empty line]:[organisation name]],1,MATCH(TRUE,LEN(Tabel33[[#This Row],[Empty line]:[organisation name]])&gt;0,0)),"")</f>
        <v/>
      </c>
      <c r="C567" s="113" t="str">
        <f>IFERROR(IF(AND(LEN(INDEX(#REF!,$A567))+LEN(INDEX(#REF!,$A567))+LEN(INDEX(#REF!,$A567))+LEN(INDEX(#REF!,$A567))&gt;0,LEN(INDEX(#REF!,$A567-1))+LEN(INDEX(#REF!,$A567-1))+LEN(INDEX(#REF!,$A567-1))+LEN(INDEX(#REF!,$A567-1))=0),$B$127,""),"")</f>
        <v/>
      </c>
      <c r="D567" s="113" t="str">
        <f>IFERROR(IF(AND(INDEX(#REF!="",$A567),OR(INDEX(#REF!,$A567)&gt;0,INDEX(#REF!,$A567)&gt;0,INDEX(#REF!,$A567)&gt;0,LEN(INDEX(#REF!,$A567))&gt;0)),$B$171,""),"")</f>
        <v/>
      </c>
      <c r="E567" s="113" t="e">
        <f>IF(AND(INDEX(#REF!,A567)&lt;&gt;"",OR(INDEX(#REF!,A567)&lt;=0,INDEX(#REF!,A567)&lt;=0)),INDEX(salaries_academic[],MATCH(INDEX(#REF!,A567),salaries_academic[category],0),2),"")</f>
        <v>#REF!</v>
      </c>
      <c r="F567" s="113" t="str">
        <f>IFERROR(IF(Tabel33[[#This Row],[Instruction]]="",IF(AND(INDEX(#REF!="",A567),OR(INDEX(#REF!,A567)&lt;&gt;"",INDEX(#REF!,A567)&gt;0,INDEX(#REF!,A567)&gt;0,INDEX(#REF!,A567)&gt;0,LEN(INDEX(#REF!,A567))&gt;0)),$B$173,""),""),"")</f>
        <v/>
      </c>
      <c r="G567" s="113" t="e">
        <f>IF(AND(Tabel33[[#This Row],[Instruction]]="",Tabel33[[#This Row],[Country not specified]]=""),IF(AND(INDEX(#REF!,A567)&lt;&gt;"",INDEX(#REF!,A567)&lt;=0),IF(INDEX(salaries_academic[],MATCH(INDEX(#REF!,A567),salaries_academic[category],0),3)="",$B$172,""),""),"")</f>
        <v>#REF!</v>
      </c>
      <c r="H567" s="113" t="str">
        <f>IFERROR(IF(AND(INDEX(salaries_academic[],MATCH(INDEX(#REF!,A567),salaries_academic[category],0),3)&gt;0,INDEX(#REF!,A567)&gt;0),$B$174,""),"")</f>
        <v/>
      </c>
      <c r="I567" s="113" t="str">
        <f>IFERROR(IF(AND(organisation_type="yes",VALUE(INDEX(#REF!,A567))&gt;0,ISBLANK(INDEX(#REF!,A567))),$B$175,""),"")</f>
        <v/>
      </c>
      <c r="J567" s="113" t="str">
        <f>IFERROR(IF(AND(organisation_name="yes",VALUE(INDEX(#REF!,A567))&gt;0,ISBLANK(INDEX(#REF!,A567)),Tabel33[[#This Row],[organisation type]]=""),$B$176,""),"")</f>
        <v/>
      </c>
    </row>
    <row r="568" spans="1:10" outlineLevel="1" x14ac:dyDescent="0.35">
      <c r="A568" s="217">
        <v>49</v>
      </c>
      <c r="B568" s="217" t="str">
        <f t="array" ref="B568">IFERROR(INDEX(Tabel33[[#This Row],[Empty line]:[organisation name]],1,MATCH(TRUE,LEN(Tabel33[[#This Row],[Empty line]:[organisation name]])&gt;0,0)),"")</f>
        <v/>
      </c>
      <c r="C568" s="113" t="str">
        <f>IFERROR(IF(AND(LEN(INDEX(#REF!,$A568))+LEN(INDEX(#REF!,$A568))+LEN(INDEX(#REF!,$A568))+LEN(INDEX(#REF!,$A568))&gt;0,LEN(INDEX(#REF!,$A568-1))+LEN(INDEX(#REF!,$A568-1))+LEN(INDEX(#REF!,$A568-1))+LEN(INDEX(#REF!,$A568-1))=0),$B$127,""),"")</f>
        <v/>
      </c>
      <c r="D568" s="113" t="str">
        <f>IFERROR(IF(AND(INDEX(#REF!="",$A568),OR(INDEX(#REF!,$A568)&gt;0,INDEX(#REF!,$A568)&gt;0,INDEX(#REF!,$A568)&gt;0,LEN(INDEX(#REF!,$A568))&gt;0)),$B$171,""),"")</f>
        <v/>
      </c>
      <c r="E568" s="113" t="e">
        <f>IF(AND(INDEX(#REF!,A568)&lt;&gt;"",OR(INDEX(#REF!,A568)&lt;=0,INDEX(#REF!,A568)&lt;=0)),INDEX(salaries_academic[],MATCH(INDEX(#REF!,A568),salaries_academic[category],0),2),"")</f>
        <v>#REF!</v>
      </c>
      <c r="F568" s="113" t="str">
        <f>IFERROR(IF(Tabel33[[#This Row],[Instruction]]="",IF(AND(INDEX(#REF!="",A568),OR(INDEX(#REF!,A568)&lt;&gt;"",INDEX(#REF!,A568)&gt;0,INDEX(#REF!,A568)&gt;0,INDEX(#REF!,A568)&gt;0,LEN(INDEX(#REF!,A568))&gt;0)),$B$173,""),""),"")</f>
        <v/>
      </c>
      <c r="G568" s="113" t="e">
        <f>IF(AND(Tabel33[[#This Row],[Instruction]]="",Tabel33[[#This Row],[Country not specified]]=""),IF(AND(INDEX(#REF!,A568)&lt;&gt;"",INDEX(#REF!,A568)&lt;=0),IF(INDEX(salaries_academic[],MATCH(INDEX(#REF!,A568),salaries_academic[category],0),3)="",$B$172,""),""),"")</f>
        <v>#REF!</v>
      </c>
      <c r="H568" s="113" t="str">
        <f>IFERROR(IF(AND(INDEX(salaries_academic[],MATCH(INDEX(#REF!,A568),salaries_academic[category],0),3)&gt;0,INDEX(#REF!,A568)&gt;0),$B$174,""),"")</f>
        <v/>
      </c>
      <c r="I568" s="113" t="str">
        <f>IFERROR(IF(AND(organisation_type="yes",VALUE(INDEX(#REF!,A568))&gt;0,ISBLANK(INDEX(#REF!,A568))),$B$175,""),"")</f>
        <v/>
      </c>
      <c r="J568" s="113" t="str">
        <f>IFERROR(IF(AND(organisation_name="yes",VALUE(INDEX(#REF!,A568))&gt;0,ISBLANK(INDEX(#REF!,A568)),Tabel33[[#This Row],[organisation type]]=""),$B$176,""),"")</f>
        <v/>
      </c>
    </row>
    <row r="569" spans="1:10" outlineLevel="1" x14ac:dyDescent="0.35">
      <c r="A569" s="217">
        <v>50</v>
      </c>
      <c r="B569" s="217" t="str">
        <f t="array" ref="B569">IFERROR(INDEX(Tabel33[[#This Row],[Empty line]:[organisation name]],1,MATCH(TRUE,LEN(Tabel33[[#This Row],[Empty line]:[organisation name]])&gt;0,0)),"")</f>
        <v/>
      </c>
      <c r="C569" s="113" t="str">
        <f>IFERROR(IF(AND(LEN(INDEX(#REF!,$A569))+LEN(INDEX(#REF!,$A569))+LEN(INDEX(#REF!,$A569))+LEN(INDEX(#REF!,$A569))&gt;0,LEN(INDEX(#REF!,$A569-1))+LEN(INDEX(#REF!,$A569-1))+LEN(INDEX(#REF!,$A569-1))+LEN(INDEX(#REF!,$A569-1))=0),$B$127,""),"")</f>
        <v/>
      </c>
      <c r="D569" s="113" t="str">
        <f>IFERROR(IF(AND(INDEX(#REF!="",$A569),OR(INDEX(#REF!,$A569)&gt;0,INDEX(#REF!,$A569)&gt;0,INDEX(#REF!,$A569)&gt;0,LEN(INDEX(#REF!,$A569))&gt;0)),$B$171,""),"")</f>
        <v/>
      </c>
      <c r="E569" s="113" t="e">
        <f>IF(AND(INDEX(#REF!,A569)&lt;&gt;"",OR(INDEX(#REF!,A569)&lt;=0,INDEX(#REF!,A569)&lt;=0)),INDEX(salaries_academic[],MATCH(INDEX(#REF!,A569),salaries_academic[category],0),2),"")</f>
        <v>#REF!</v>
      </c>
      <c r="F569" s="113" t="str">
        <f>IFERROR(IF(Tabel33[[#This Row],[Instruction]]="",IF(AND(INDEX(#REF!="",A569),OR(INDEX(#REF!,A569)&lt;&gt;"",INDEX(#REF!,A569)&gt;0,INDEX(#REF!,A569)&gt;0,INDEX(#REF!,A569)&gt;0,LEN(INDEX(#REF!,A569))&gt;0)),$B$173,""),""),"")</f>
        <v/>
      </c>
      <c r="G569" s="113" t="e">
        <f>IF(AND(Tabel33[[#This Row],[Instruction]]="",Tabel33[[#This Row],[Country not specified]]=""),IF(AND(INDEX(#REF!,A569)&lt;&gt;"",INDEX(#REF!,A569)&lt;=0),IF(INDEX(salaries_academic[],MATCH(INDEX(#REF!,A569),salaries_academic[category],0),3)="",$B$172,""),""),"")</f>
        <v>#REF!</v>
      </c>
      <c r="H569" s="113" t="str">
        <f>IFERROR(IF(AND(INDEX(salaries_academic[],MATCH(INDEX(#REF!,A569),salaries_academic[category],0),3)&gt;0,INDEX(#REF!,A569)&gt;0),$B$174,""),"")</f>
        <v/>
      </c>
      <c r="I569" s="113" t="str">
        <f>IFERROR(IF(AND(organisation_type="yes",VALUE(INDEX(#REF!,A569))&gt;0,ISBLANK(INDEX(#REF!,A569))),$B$175,""),"")</f>
        <v/>
      </c>
      <c r="J569" s="113" t="str">
        <f>IFERROR(IF(AND(organisation_name="yes",VALUE(INDEX(#REF!,A569))&gt;0,ISBLANK(INDEX(#REF!,A569)),Tabel33[[#This Row],[organisation type]]=""),$B$176,""),"")</f>
        <v/>
      </c>
    </row>
    <row r="570" spans="1:10" outlineLevel="1" x14ac:dyDescent="0.35">
      <c r="A570" s="217">
        <v>51</v>
      </c>
      <c r="B570" s="217" t="str">
        <f t="array" ref="B570">IFERROR(INDEX(Tabel33[[#This Row],[Empty line]:[organisation name]],1,MATCH(TRUE,LEN(Tabel33[[#This Row],[Empty line]:[organisation name]])&gt;0,0)),"")</f>
        <v/>
      </c>
      <c r="C570" s="113" t="str">
        <f>IFERROR(IF(AND(LEN(INDEX(#REF!,$A570))+LEN(INDEX(#REF!,$A570))+LEN(INDEX(#REF!,$A570))+LEN(INDEX(#REF!,$A570))&gt;0,LEN(INDEX(#REF!,$A570-1))+LEN(INDEX(#REF!,$A570-1))+LEN(INDEX(#REF!,$A570-1))+LEN(INDEX(#REF!,$A570-1))=0),$B$127,""),"")</f>
        <v/>
      </c>
      <c r="D570" s="113" t="str">
        <f>IFERROR(IF(AND(INDEX(#REF!="",$A570),OR(INDEX(#REF!,$A570)&gt;0,INDEX(#REF!,$A570)&gt;0,INDEX(#REF!,$A570)&gt;0,LEN(INDEX(#REF!,$A570))&gt;0)),$B$171,""),"")</f>
        <v/>
      </c>
      <c r="E570" s="113" t="e">
        <f>IF(AND(INDEX(#REF!,A570)&lt;&gt;"",OR(INDEX(#REF!,A570)&lt;=0,INDEX(#REF!,A570)&lt;=0)),INDEX(salaries_academic[],MATCH(INDEX(#REF!,A570),salaries_academic[category],0),2),"")</f>
        <v>#REF!</v>
      </c>
      <c r="F570" s="113" t="str">
        <f>IFERROR(IF(Tabel33[[#This Row],[Instruction]]="",IF(AND(INDEX(#REF!="",A570),OR(INDEX(#REF!,A570)&lt;&gt;"",INDEX(#REF!,A570)&gt;0,INDEX(#REF!,A570)&gt;0,INDEX(#REF!,A570)&gt;0,LEN(INDEX(#REF!,A570))&gt;0)),$B$173,""),""),"")</f>
        <v/>
      </c>
      <c r="G570" s="113" t="e">
        <f>IF(AND(Tabel33[[#This Row],[Instruction]]="",Tabel33[[#This Row],[Country not specified]]=""),IF(AND(INDEX(#REF!,A570)&lt;&gt;"",INDEX(#REF!,A570)&lt;=0),IF(INDEX(salaries_academic[],MATCH(INDEX(#REF!,A570),salaries_academic[category],0),3)="",$B$172,""),""),"")</f>
        <v>#REF!</v>
      </c>
      <c r="H570" s="113" t="str">
        <f>IFERROR(IF(AND(INDEX(salaries_academic[],MATCH(INDEX(#REF!,A570),salaries_academic[category],0),3)&gt;0,INDEX(#REF!,A570)&gt;0),$B$174,""),"")</f>
        <v/>
      </c>
      <c r="I570" s="113" t="str">
        <f>IFERROR(IF(AND(organisation_type="yes",VALUE(INDEX(#REF!,A570))&gt;0,ISBLANK(INDEX(#REF!,A570))),$B$175,""),"")</f>
        <v/>
      </c>
      <c r="J570" s="113" t="str">
        <f>IFERROR(IF(AND(organisation_name="yes",VALUE(INDEX(#REF!,A570))&gt;0,ISBLANK(INDEX(#REF!,A570)),Tabel33[[#This Row],[organisation type]]=""),$B$176,""),"")</f>
        <v/>
      </c>
    </row>
    <row r="571" spans="1:10" outlineLevel="1" x14ac:dyDescent="0.35">
      <c r="A571" s="217">
        <v>52</v>
      </c>
      <c r="B571" s="217" t="str">
        <f t="array" ref="B571">IFERROR(INDEX(Tabel33[[#This Row],[Empty line]:[organisation name]],1,MATCH(TRUE,LEN(Tabel33[[#This Row],[Empty line]:[organisation name]])&gt;0,0)),"")</f>
        <v/>
      </c>
      <c r="C571" s="113" t="str">
        <f>IFERROR(IF(AND(LEN(INDEX(#REF!,$A571))+LEN(INDEX(#REF!,$A571))+LEN(INDEX(#REF!,$A571))+LEN(INDEX(#REF!,$A571))&gt;0,LEN(INDEX(#REF!,$A571-1))+LEN(INDEX(#REF!,$A571-1))+LEN(INDEX(#REF!,$A571-1))+LEN(INDEX(#REF!,$A571-1))=0),$B$127,""),"")</f>
        <v/>
      </c>
      <c r="D571" s="113" t="str">
        <f>IFERROR(IF(AND(INDEX(#REF!="",$A571),OR(INDEX(#REF!,$A571)&gt;0,INDEX(#REF!,$A571)&gt;0,INDEX(#REF!,$A571)&gt;0,LEN(INDEX(#REF!,$A571))&gt;0)),$B$171,""),"")</f>
        <v/>
      </c>
      <c r="E571" s="113" t="e">
        <f>IF(AND(INDEX(#REF!,A571)&lt;&gt;"",OR(INDEX(#REF!,A571)&lt;=0,INDEX(#REF!,A571)&lt;=0)),INDEX(salaries_academic[],MATCH(INDEX(#REF!,A571),salaries_academic[category],0),2),"")</f>
        <v>#REF!</v>
      </c>
      <c r="F571" s="113" t="str">
        <f>IFERROR(IF(Tabel33[[#This Row],[Instruction]]="",IF(AND(INDEX(#REF!="",A571),OR(INDEX(#REF!,A571)&lt;&gt;"",INDEX(#REF!,A571)&gt;0,INDEX(#REF!,A571)&gt;0,INDEX(#REF!,A571)&gt;0,LEN(INDEX(#REF!,A571))&gt;0)),$B$173,""),""),"")</f>
        <v/>
      </c>
      <c r="G571" s="113" t="e">
        <f>IF(AND(Tabel33[[#This Row],[Instruction]]="",Tabel33[[#This Row],[Country not specified]]=""),IF(AND(INDEX(#REF!,A571)&lt;&gt;"",INDEX(#REF!,A571)&lt;=0),IF(INDEX(salaries_academic[],MATCH(INDEX(#REF!,A571),salaries_academic[category],0),3)="",$B$172,""),""),"")</f>
        <v>#REF!</v>
      </c>
      <c r="H571" s="113" t="str">
        <f>IFERROR(IF(AND(INDEX(salaries_academic[],MATCH(INDEX(#REF!,A571),salaries_academic[category],0),3)&gt;0,INDEX(#REF!,A571)&gt;0),$B$174,""),"")</f>
        <v/>
      </c>
      <c r="I571" s="113" t="str">
        <f>IFERROR(IF(AND(organisation_type="yes",VALUE(INDEX(#REF!,A571))&gt;0,ISBLANK(INDEX(#REF!,A571))),$B$175,""),"")</f>
        <v/>
      </c>
      <c r="J571" s="113" t="str">
        <f>IFERROR(IF(AND(organisation_name="yes",VALUE(INDEX(#REF!,A571))&gt;0,ISBLANK(INDEX(#REF!,A571)),Tabel33[[#This Row],[organisation type]]=""),$B$176,""),"")</f>
        <v/>
      </c>
    </row>
    <row r="572" spans="1:10" outlineLevel="1" x14ac:dyDescent="0.35">
      <c r="A572" s="217">
        <v>53</v>
      </c>
      <c r="B572" s="217" t="str">
        <f t="array" ref="B572">IFERROR(INDEX(Tabel33[[#This Row],[Empty line]:[organisation name]],1,MATCH(TRUE,LEN(Tabel33[[#This Row],[Empty line]:[organisation name]])&gt;0,0)),"")</f>
        <v/>
      </c>
      <c r="C572" s="113" t="str">
        <f>IFERROR(IF(AND(LEN(INDEX(#REF!,$A572))+LEN(INDEX(#REF!,$A572))+LEN(INDEX(#REF!,$A572))+LEN(INDEX(#REF!,$A572))&gt;0,LEN(INDEX(#REF!,$A572-1))+LEN(INDEX(#REF!,$A572-1))+LEN(INDEX(#REF!,$A572-1))+LEN(INDEX(#REF!,$A572-1))=0),$B$127,""),"")</f>
        <v/>
      </c>
      <c r="D572" s="113" t="str">
        <f>IFERROR(IF(AND(INDEX(#REF!="",$A572),OR(INDEX(#REF!,$A572)&gt;0,INDEX(#REF!,$A572)&gt;0,INDEX(#REF!,$A572)&gt;0,LEN(INDEX(#REF!,$A572))&gt;0)),$B$171,""),"")</f>
        <v/>
      </c>
      <c r="E572" s="113" t="e">
        <f>IF(AND(INDEX(#REF!,A572)&lt;&gt;"",OR(INDEX(#REF!,A572)&lt;=0,INDEX(#REF!,A572)&lt;=0)),INDEX(salaries_academic[],MATCH(INDEX(#REF!,A572),salaries_academic[category],0),2),"")</f>
        <v>#REF!</v>
      </c>
      <c r="F572" s="113" t="str">
        <f>IFERROR(IF(Tabel33[[#This Row],[Instruction]]="",IF(AND(INDEX(#REF!="",A572),OR(INDEX(#REF!,A572)&lt;&gt;"",INDEX(#REF!,A572)&gt;0,INDEX(#REF!,A572)&gt;0,INDEX(#REF!,A572)&gt;0,LEN(INDEX(#REF!,A572))&gt;0)),$B$173,""),""),"")</f>
        <v/>
      </c>
      <c r="G572" s="113" t="e">
        <f>IF(AND(Tabel33[[#This Row],[Instruction]]="",Tabel33[[#This Row],[Country not specified]]=""),IF(AND(INDEX(#REF!,A572)&lt;&gt;"",INDEX(#REF!,A572)&lt;=0),IF(INDEX(salaries_academic[],MATCH(INDEX(#REF!,A572),salaries_academic[category],0),3)="",$B$172,""),""),"")</f>
        <v>#REF!</v>
      </c>
      <c r="H572" s="113" t="str">
        <f>IFERROR(IF(AND(INDEX(salaries_academic[],MATCH(INDEX(#REF!,A572),salaries_academic[category],0),3)&gt;0,INDEX(#REF!,A572)&gt;0),$B$174,""),"")</f>
        <v/>
      </c>
      <c r="I572" s="113" t="str">
        <f>IFERROR(IF(AND(organisation_type="yes",VALUE(INDEX(#REF!,A572))&gt;0,ISBLANK(INDEX(#REF!,A572))),$B$175,""),"")</f>
        <v/>
      </c>
      <c r="J572" s="113" t="str">
        <f>IFERROR(IF(AND(organisation_name="yes",VALUE(INDEX(#REF!,A572))&gt;0,ISBLANK(INDEX(#REF!,A572)),Tabel33[[#This Row],[organisation type]]=""),$B$176,""),"")</f>
        <v/>
      </c>
    </row>
    <row r="573" spans="1:10" outlineLevel="1" x14ac:dyDescent="0.35">
      <c r="A573" s="217">
        <v>54</v>
      </c>
      <c r="B573" s="217" t="str">
        <f t="array" ref="B573">IFERROR(INDEX(Tabel33[[#This Row],[Empty line]:[organisation name]],1,MATCH(TRUE,LEN(Tabel33[[#This Row],[Empty line]:[organisation name]])&gt;0,0)),"")</f>
        <v/>
      </c>
      <c r="C573" s="113" t="str">
        <f>IFERROR(IF(AND(LEN(INDEX(#REF!,$A573))+LEN(INDEX(#REF!,$A573))+LEN(INDEX(#REF!,$A573))+LEN(INDEX(#REF!,$A573))&gt;0,LEN(INDEX(#REF!,$A573-1))+LEN(INDEX(#REF!,$A573-1))+LEN(INDEX(#REF!,$A573-1))+LEN(INDEX(#REF!,$A573-1))=0),$B$127,""),"")</f>
        <v/>
      </c>
      <c r="D573" s="113" t="str">
        <f>IFERROR(IF(AND(INDEX(#REF!="",$A573),OR(INDEX(#REF!,$A573)&gt;0,INDEX(#REF!,$A573)&gt;0,INDEX(#REF!,$A573)&gt;0,LEN(INDEX(#REF!,$A573))&gt;0)),$B$171,""),"")</f>
        <v/>
      </c>
      <c r="E573" s="113" t="e">
        <f>IF(AND(INDEX(#REF!,A573)&lt;&gt;"",OR(INDEX(#REF!,A573)&lt;=0,INDEX(#REF!,A573)&lt;=0)),INDEX(salaries_academic[],MATCH(INDEX(#REF!,A573),salaries_academic[category],0),2),"")</f>
        <v>#REF!</v>
      </c>
      <c r="F573" s="113" t="str">
        <f>IFERROR(IF(Tabel33[[#This Row],[Instruction]]="",IF(AND(INDEX(#REF!="",A573),OR(INDEX(#REF!,A573)&lt;&gt;"",INDEX(#REF!,A573)&gt;0,INDEX(#REF!,A573)&gt;0,INDEX(#REF!,A573)&gt;0,LEN(INDEX(#REF!,A573))&gt;0)),$B$173,""),""),"")</f>
        <v/>
      </c>
      <c r="G573" s="113" t="e">
        <f>IF(AND(Tabel33[[#This Row],[Instruction]]="",Tabel33[[#This Row],[Country not specified]]=""),IF(AND(INDEX(#REF!,A573)&lt;&gt;"",INDEX(#REF!,A573)&lt;=0),IF(INDEX(salaries_academic[],MATCH(INDEX(#REF!,A573),salaries_academic[category],0),3)="",$B$172,""),""),"")</f>
        <v>#REF!</v>
      </c>
      <c r="H573" s="113" t="str">
        <f>IFERROR(IF(AND(INDEX(salaries_academic[],MATCH(INDEX(#REF!,A573),salaries_academic[category],0),3)&gt;0,INDEX(#REF!,A573)&gt;0),$B$174,""),"")</f>
        <v/>
      </c>
      <c r="I573" s="113" t="str">
        <f>IFERROR(IF(AND(organisation_type="yes",VALUE(INDEX(#REF!,A573))&gt;0,ISBLANK(INDEX(#REF!,A573))),$B$175,""),"")</f>
        <v/>
      </c>
      <c r="J573" s="113" t="str">
        <f>IFERROR(IF(AND(organisation_name="yes",VALUE(INDEX(#REF!,A573))&gt;0,ISBLANK(INDEX(#REF!,A573)),Tabel33[[#This Row],[organisation type]]=""),$B$176,""),"")</f>
        <v/>
      </c>
    </row>
    <row r="574" spans="1:10" outlineLevel="1" x14ac:dyDescent="0.35">
      <c r="A574" s="217">
        <v>55</v>
      </c>
      <c r="B574" s="217" t="str">
        <f t="array" ref="B574">IFERROR(INDEX(Tabel33[[#This Row],[Empty line]:[organisation name]],1,MATCH(TRUE,LEN(Tabel33[[#This Row],[Empty line]:[organisation name]])&gt;0,0)),"")</f>
        <v/>
      </c>
      <c r="C574" s="113" t="str">
        <f>IFERROR(IF(AND(LEN(INDEX(#REF!,$A574))+LEN(INDEX(#REF!,$A574))+LEN(INDEX(#REF!,$A574))+LEN(INDEX(#REF!,$A574))&gt;0,LEN(INDEX(#REF!,$A574-1))+LEN(INDEX(#REF!,$A574-1))+LEN(INDEX(#REF!,$A574-1))+LEN(INDEX(#REF!,$A574-1))=0),$B$127,""),"")</f>
        <v/>
      </c>
      <c r="D574" s="113" t="str">
        <f>IFERROR(IF(AND(INDEX(#REF!="",$A574),OR(INDEX(#REF!,$A574)&gt;0,INDEX(#REF!,$A574)&gt;0,INDEX(#REF!,$A574)&gt;0,LEN(INDEX(#REF!,$A574))&gt;0)),$B$171,""),"")</f>
        <v/>
      </c>
      <c r="E574" s="113" t="e">
        <f>IF(AND(INDEX(#REF!,A574)&lt;&gt;"",OR(INDEX(#REF!,A574)&lt;=0,INDEX(#REF!,A574)&lt;=0)),INDEX(salaries_academic[],MATCH(INDEX(#REF!,A574),salaries_academic[category],0),2),"")</f>
        <v>#REF!</v>
      </c>
      <c r="F574" s="113" t="str">
        <f>IFERROR(IF(Tabel33[[#This Row],[Instruction]]="",IF(AND(INDEX(#REF!="",A574),OR(INDEX(#REF!,A574)&lt;&gt;"",INDEX(#REF!,A574)&gt;0,INDEX(#REF!,A574)&gt;0,INDEX(#REF!,A574)&gt;0,LEN(INDEX(#REF!,A574))&gt;0)),$B$173,""),""),"")</f>
        <v/>
      </c>
      <c r="G574" s="113" t="e">
        <f>IF(AND(Tabel33[[#This Row],[Instruction]]="",Tabel33[[#This Row],[Country not specified]]=""),IF(AND(INDEX(#REF!,A574)&lt;&gt;"",INDEX(#REF!,A574)&lt;=0),IF(INDEX(salaries_academic[],MATCH(INDEX(#REF!,A574),salaries_academic[category],0),3)="",$B$172,""),""),"")</f>
        <v>#REF!</v>
      </c>
      <c r="H574" s="113" t="str">
        <f>IFERROR(IF(AND(INDEX(salaries_academic[],MATCH(INDEX(#REF!,A574),salaries_academic[category],0),3)&gt;0,INDEX(#REF!,A574)&gt;0),$B$174,""),"")</f>
        <v/>
      </c>
      <c r="I574" s="113" t="str">
        <f>IFERROR(IF(AND(organisation_type="yes",VALUE(INDEX(#REF!,A574))&gt;0,ISBLANK(INDEX(#REF!,A574))),$B$175,""),"")</f>
        <v/>
      </c>
      <c r="J574" s="113" t="str">
        <f>IFERROR(IF(AND(organisation_name="yes",VALUE(INDEX(#REF!,A574))&gt;0,ISBLANK(INDEX(#REF!,A574)),Tabel33[[#This Row],[organisation type]]=""),$B$176,""),"")</f>
        <v/>
      </c>
    </row>
    <row r="575" spans="1:10" outlineLevel="1" x14ac:dyDescent="0.35">
      <c r="A575" s="217">
        <v>56</v>
      </c>
      <c r="B575" s="217" t="str">
        <f t="array" ref="B575">IFERROR(INDEX(Tabel33[[#This Row],[Empty line]:[organisation name]],1,MATCH(TRUE,LEN(Tabel33[[#This Row],[Empty line]:[organisation name]])&gt;0,0)),"")</f>
        <v/>
      </c>
      <c r="C575" s="113" t="str">
        <f>IFERROR(IF(AND(LEN(INDEX(#REF!,$A575))+LEN(INDEX(#REF!,$A575))+LEN(INDEX(#REF!,$A575))+LEN(INDEX(#REF!,$A575))&gt;0,LEN(INDEX(#REF!,$A575-1))+LEN(INDEX(#REF!,$A575-1))+LEN(INDEX(#REF!,$A575-1))+LEN(INDEX(#REF!,$A575-1))=0),$B$127,""),"")</f>
        <v/>
      </c>
      <c r="D575" s="113" t="str">
        <f>IFERROR(IF(AND(INDEX(#REF!="",$A575),OR(INDEX(#REF!,$A575)&gt;0,INDEX(#REF!,$A575)&gt;0,INDEX(#REF!,$A575)&gt;0,LEN(INDEX(#REF!,$A575))&gt;0)),$B$171,""),"")</f>
        <v/>
      </c>
      <c r="E575" s="113" t="e">
        <f>IF(AND(INDEX(#REF!,A575)&lt;&gt;"",OR(INDEX(#REF!,A575)&lt;=0,INDEX(#REF!,A575)&lt;=0)),INDEX(salaries_academic[],MATCH(INDEX(#REF!,A575),salaries_academic[category],0),2),"")</f>
        <v>#REF!</v>
      </c>
      <c r="F575" s="113" t="str">
        <f>IFERROR(IF(Tabel33[[#This Row],[Instruction]]="",IF(AND(INDEX(#REF!="",A575),OR(INDEX(#REF!,A575)&lt;&gt;"",INDEX(#REF!,A575)&gt;0,INDEX(#REF!,A575)&gt;0,INDEX(#REF!,A575)&gt;0,LEN(INDEX(#REF!,A575))&gt;0)),$B$173,""),""),"")</f>
        <v/>
      </c>
      <c r="G575" s="113" t="e">
        <f>IF(AND(Tabel33[[#This Row],[Instruction]]="",Tabel33[[#This Row],[Country not specified]]=""),IF(AND(INDEX(#REF!,A575)&lt;&gt;"",INDEX(#REF!,A575)&lt;=0),IF(INDEX(salaries_academic[],MATCH(INDEX(#REF!,A575),salaries_academic[category],0),3)="",$B$172,""),""),"")</f>
        <v>#REF!</v>
      </c>
      <c r="H575" s="113" t="str">
        <f>IFERROR(IF(AND(INDEX(salaries_academic[],MATCH(INDEX(#REF!,A575),salaries_academic[category],0),3)&gt;0,INDEX(#REF!,A575)&gt;0),$B$174,""),"")</f>
        <v/>
      </c>
      <c r="I575" s="113" t="str">
        <f>IFERROR(IF(AND(organisation_type="yes",VALUE(INDEX(#REF!,A575))&gt;0,ISBLANK(INDEX(#REF!,A575))),$B$175,""),"")</f>
        <v/>
      </c>
      <c r="J575" s="113" t="str">
        <f>IFERROR(IF(AND(organisation_name="yes",VALUE(INDEX(#REF!,A575))&gt;0,ISBLANK(INDEX(#REF!,A575)),Tabel33[[#This Row],[organisation type]]=""),$B$176,""),"")</f>
        <v/>
      </c>
    </row>
    <row r="576" spans="1:10" outlineLevel="1" x14ac:dyDescent="0.35">
      <c r="A576" s="217">
        <v>57</v>
      </c>
      <c r="B576" s="217" t="str">
        <f t="array" ref="B576">IFERROR(INDEX(Tabel33[[#This Row],[Empty line]:[organisation name]],1,MATCH(TRUE,LEN(Tabel33[[#This Row],[Empty line]:[organisation name]])&gt;0,0)),"")</f>
        <v/>
      </c>
      <c r="C576" s="113" t="str">
        <f>IFERROR(IF(AND(LEN(INDEX(#REF!,$A576))+LEN(INDEX(#REF!,$A576))+LEN(INDEX(#REF!,$A576))+LEN(INDEX(#REF!,$A576))&gt;0,LEN(INDEX(#REF!,$A576-1))+LEN(INDEX(#REF!,$A576-1))+LEN(INDEX(#REF!,$A576-1))+LEN(INDEX(#REF!,$A576-1))=0),$B$127,""),"")</f>
        <v/>
      </c>
      <c r="D576" s="113" t="str">
        <f>IFERROR(IF(AND(INDEX(#REF!="",$A576),OR(INDEX(#REF!,$A576)&gt;0,INDEX(#REF!,$A576)&gt;0,INDEX(#REF!,$A576)&gt;0,LEN(INDEX(#REF!,$A576))&gt;0)),$B$171,""),"")</f>
        <v/>
      </c>
      <c r="E576" s="113" t="e">
        <f>IF(AND(INDEX(#REF!,A576)&lt;&gt;"",OR(INDEX(#REF!,A576)&lt;=0,INDEX(#REF!,A576)&lt;=0)),INDEX(salaries_academic[],MATCH(INDEX(#REF!,A576),salaries_academic[category],0),2),"")</f>
        <v>#REF!</v>
      </c>
      <c r="F576" s="113" t="str">
        <f>IFERROR(IF(Tabel33[[#This Row],[Instruction]]="",IF(AND(INDEX(#REF!="",A576),OR(INDEX(#REF!,A576)&lt;&gt;"",INDEX(#REF!,A576)&gt;0,INDEX(#REF!,A576)&gt;0,INDEX(#REF!,A576)&gt;0,LEN(INDEX(#REF!,A576))&gt;0)),$B$173,""),""),"")</f>
        <v/>
      </c>
      <c r="G576" s="113" t="e">
        <f>IF(AND(Tabel33[[#This Row],[Instruction]]="",Tabel33[[#This Row],[Country not specified]]=""),IF(AND(INDEX(#REF!,A576)&lt;&gt;"",INDEX(#REF!,A576)&lt;=0),IF(INDEX(salaries_academic[],MATCH(INDEX(#REF!,A576),salaries_academic[category],0),3)="",$B$172,""),""),"")</f>
        <v>#REF!</v>
      </c>
      <c r="H576" s="113" t="str">
        <f>IFERROR(IF(AND(INDEX(salaries_academic[],MATCH(INDEX(#REF!,A576),salaries_academic[category],0),3)&gt;0,INDEX(#REF!,A576)&gt;0),$B$174,""),"")</f>
        <v/>
      </c>
      <c r="I576" s="113" t="str">
        <f>IFERROR(IF(AND(organisation_type="yes",VALUE(INDEX(#REF!,A576))&gt;0,ISBLANK(INDEX(#REF!,A576))),$B$175,""),"")</f>
        <v/>
      </c>
      <c r="J576" s="113" t="str">
        <f>IFERROR(IF(AND(organisation_name="yes",VALUE(INDEX(#REF!,A576))&gt;0,ISBLANK(INDEX(#REF!,A576)),Tabel33[[#This Row],[organisation type]]=""),$B$176,""),"")</f>
        <v/>
      </c>
    </row>
    <row r="577" spans="1:10" outlineLevel="1" x14ac:dyDescent="0.35">
      <c r="A577" s="217">
        <v>58</v>
      </c>
      <c r="B577" s="217" t="str">
        <f t="array" ref="B577">IFERROR(INDEX(Tabel33[[#This Row],[Empty line]:[organisation name]],1,MATCH(TRUE,LEN(Tabel33[[#This Row],[Empty line]:[organisation name]])&gt;0,0)),"")</f>
        <v/>
      </c>
      <c r="C577" s="113" t="str">
        <f>IFERROR(IF(AND(LEN(INDEX(#REF!,$A577))+LEN(INDEX(#REF!,$A577))+LEN(INDEX(#REF!,$A577))+LEN(INDEX(#REF!,$A577))&gt;0,LEN(INDEX(#REF!,$A577-1))+LEN(INDEX(#REF!,$A577-1))+LEN(INDEX(#REF!,$A577-1))+LEN(INDEX(#REF!,$A577-1))=0),$B$127,""),"")</f>
        <v/>
      </c>
      <c r="D577" s="113" t="str">
        <f>IFERROR(IF(AND(INDEX(#REF!="",$A577),OR(INDEX(#REF!,$A577)&gt;0,INDEX(#REF!,$A577)&gt;0,INDEX(#REF!,$A577)&gt;0,LEN(INDEX(#REF!,$A577))&gt;0)),$B$171,""),"")</f>
        <v/>
      </c>
      <c r="E577" s="113" t="e">
        <f>IF(AND(INDEX(#REF!,A577)&lt;&gt;"",OR(INDEX(#REF!,A577)&lt;=0,INDEX(#REF!,A577)&lt;=0)),INDEX(salaries_academic[],MATCH(INDEX(#REF!,A577),salaries_academic[category],0),2),"")</f>
        <v>#REF!</v>
      </c>
      <c r="F577" s="113" t="str">
        <f>IFERROR(IF(Tabel33[[#This Row],[Instruction]]="",IF(AND(INDEX(#REF!="",A577),OR(INDEX(#REF!,A577)&lt;&gt;"",INDEX(#REF!,A577)&gt;0,INDEX(#REF!,A577)&gt;0,INDEX(#REF!,A577)&gt;0,LEN(INDEX(#REF!,A577))&gt;0)),$B$173,""),""),"")</f>
        <v/>
      </c>
      <c r="G577" s="113" t="e">
        <f>IF(AND(Tabel33[[#This Row],[Instruction]]="",Tabel33[[#This Row],[Country not specified]]=""),IF(AND(INDEX(#REF!,A577)&lt;&gt;"",INDEX(#REF!,A577)&lt;=0),IF(INDEX(salaries_academic[],MATCH(INDEX(#REF!,A577),salaries_academic[category],0),3)="",$B$172,""),""),"")</f>
        <v>#REF!</v>
      </c>
      <c r="H577" s="113" t="str">
        <f>IFERROR(IF(AND(INDEX(salaries_academic[],MATCH(INDEX(#REF!,A577),salaries_academic[category],0),3)&gt;0,INDEX(#REF!,A577)&gt;0),$B$174,""),"")</f>
        <v/>
      </c>
      <c r="I577" s="113" t="str">
        <f>IFERROR(IF(AND(organisation_type="yes",VALUE(INDEX(#REF!,A577))&gt;0,ISBLANK(INDEX(#REF!,A577))),$B$175,""),"")</f>
        <v/>
      </c>
      <c r="J577" s="113" t="str">
        <f>IFERROR(IF(AND(organisation_name="yes",VALUE(INDEX(#REF!,A577))&gt;0,ISBLANK(INDEX(#REF!,A577)),Tabel33[[#This Row],[organisation type]]=""),$B$176,""),"")</f>
        <v/>
      </c>
    </row>
    <row r="578" spans="1:10" outlineLevel="1" x14ac:dyDescent="0.35">
      <c r="A578" s="217">
        <v>59</v>
      </c>
      <c r="B578" s="217" t="str">
        <f t="array" ref="B578">IFERROR(INDEX(Tabel33[[#This Row],[Empty line]:[organisation name]],1,MATCH(TRUE,LEN(Tabel33[[#This Row],[Empty line]:[organisation name]])&gt;0,0)),"")</f>
        <v/>
      </c>
      <c r="C578" s="113" t="str">
        <f>IFERROR(IF(AND(LEN(INDEX(#REF!,$A578))+LEN(INDEX(#REF!,$A578))+LEN(INDEX(#REF!,$A578))+LEN(INDEX(#REF!,$A578))&gt;0,LEN(INDEX(#REF!,$A578-1))+LEN(INDEX(#REF!,$A578-1))+LEN(INDEX(#REF!,$A578-1))+LEN(INDEX(#REF!,$A578-1))=0),$B$127,""),"")</f>
        <v/>
      </c>
      <c r="D578" s="113" t="str">
        <f>IFERROR(IF(AND(INDEX(#REF!="",$A578),OR(INDEX(#REF!,$A578)&gt;0,INDEX(#REF!,$A578)&gt;0,INDEX(#REF!,$A578)&gt;0,LEN(INDEX(#REF!,$A578))&gt;0)),$B$171,""),"")</f>
        <v/>
      </c>
      <c r="E578" s="113" t="e">
        <f>IF(AND(INDEX(#REF!,A578)&lt;&gt;"",OR(INDEX(#REF!,A578)&lt;=0,INDEX(#REF!,A578)&lt;=0)),INDEX(salaries_academic[],MATCH(INDEX(#REF!,A578),salaries_academic[category],0),2),"")</f>
        <v>#REF!</v>
      </c>
      <c r="F578" s="113" t="str">
        <f>IFERROR(IF(Tabel33[[#This Row],[Instruction]]="",IF(AND(INDEX(#REF!="",A578),OR(INDEX(#REF!,A578)&lt;&gt;"",INDEX(#REF!,A578)&gt;0,INDEX(#REF!,A578)&gt;0,INDEX(#REF!,A578)&gt;0,LEN(INDEX(#REF!,A578))&gt;0)),$B$173,""),""),"")</f>
        <v/>
      </c>
      <c r="G578" s="113" t="e">
        <f>IF(AND(Tabel33[[#This Row],[Instruction]]="",Tabel33[[#This Row],[Country not specified]]=""),IF(AND(INDEX(#REF!,A578)&lt;&gt;"",INDEX(#REF!,A578)&lt;=0),IF(INDEX(salaries_academic[],MATCH(INDEX(#REF!,A578),salaries_academic[category],0),3)="",$B$172,""),""),"")</f>
        <v>#REF!</v>
      </c>
      <c r="H578" s="113" t="str">
        <f>IFERROR(IF(AND(INDEX(salaries_academic[],MATCH(INDEX(#REF!,A578),salaries_academic[category],0),3)&gt;0,INDEX(#REF!,A578)&gt;0),$B$174,""),"")</f>
        <v/>
      </c>
      <c r="I578" s="113" t="str">
        <f>IFERROR(IF(AND(organisation_type="yes",VALUE(INDEX(#REF!,A578))&gt;0,ISBLANK(INDEX(#REF!,A578))),$B$175,""),"")</f>
        <v/>
      </c>
      <c r="J578" s="113" t="str">
        <f>IFERROR(IF(AND(organisation_name="yes",VALUE(INDEX(#REF!,A578))&gt;0,ISBLANK(INDEX(#REF!,A578)),Tabel33[[#This Row],[organisation type]]=""),$B$176,""),"")</f>
        <v/>
      </c>
    </row>
    <row r="579" spans="1:10" outlineLevel="1" x14ac:dyDescent="0.35">
      <c r="A579" s="217">
        <v>60</v>
      </c>
      <c r="B579" s="217" t="str">
        <f t="array" ref="B579">IFERROR(INDEX(Tabel33[[#This Row],[Empty line]:[organisation name]],1,MATCH(TRUE,LEN(Tabel33[[#This Row],[Empty line]:[organisation name]])&gt;0,0)),"")</f>
        <v/>
      </c>
      <c r="C579" s="113" t="str">
        <f>IFERROR(IF(AND(LEN(INDEX(#REF!,$A579))+LEN(INDEX(#REF!,$A579))+LEN(INDEX(#REF!,$A579))+LEN(INDEX(#REF!,$A579))&gt;0,LEN(INDEX(#REF!,$A579-1))+LEN(INDEX(#REF!,$A579-1))+LEN(INDEX(#REF!,$A579-1))+LEN(INDEX(#REF!,$A579-1))=0),$B$127,""),"")</f>
        <v/>
      </c>
      <c r="D579" s="113" t="str">
        <f>IFERROR(IF(AND(INDEX(#REF!="",$A579),OR(INDEX(#REF!,$A579)&gt;0,INDEX(#REF!,$A579)&gt;0,INDEX(#REF!,$A579)&gt;0,LEN(INDEX(#REF!,$A579))&gt;0)),$B$171,""),"")</f>
        <v/>
      </c>
      <c r="E579" s="113" t="e">
        <f>IF(AND(INDEX(#REF!,A579)&lt;&gt;"",OR(INDEX(#REF!,A579)&lt;=0,INDEX(#REF!,A579)&lt;=0)),INDEX(salaries_academic[],MATCH(INDEX(#REF!,A579),salaries_academic[category],0),2),"")</f>
        <v>#REF!</v>
      </c>
      <c r="F579" s="113" t="str">
        <f>IFERROR(IF(Tabel33[[#This Row],[Instruction]]="",IF(AND(INDEX(#REF!="",A579),OR(INDEX(#REF!,A579)&lt;&gt;"",INDEX(#REF!,A579)&gt;0,INDEX(#REF!,A579)&gt;0,INDEX(#REF!,A579)&gt;0,LEN(INDEX(#REF!,A579))&gt;0)),$B$173,""),""),"")</f>
        <v/>
      </c>
      <c r="G579" s="113" t="e">
        <f>IF(AND(Tabel33[[#This Row],[Instruction]]="",Tabel33[[#This Row],[Country not specified]]=""),IF(AND(INDEX(#REF!,A579)&lt;&gt;"",INDEX(#REF!,A579)&lt;=0),IF(INDEX(salaries_academic[],MATCH(INDEX(#REF!,A579),salaries_academic[category],0),3)="",$B$172,""),""),"")</f>
        <v>#REF!</v>
      </c>
      <c r="H579" s="113" t="str">
        <f>IFERROR(IF(AND(INDEX(salaries_academic[],MATCH(INDEX(#REF!,A579),salaries_academic[category],0),3)&gt;0,INDEX(#REF!,A579)&gt;0),$B$174,""),"")</f>
        <v/>
      </c>
      <c r="I579" s="113" t="str">
        <f>IFERROR(IF(AND(organisation_type="yes",VALUE(INDEX(#REF!,A579))&gt;0,ISBLANK(INDEX(#REF!,A579))),$B$175,""),"")</f>
        <v/>
      </c>
      <c r="J579" s="113" t="str">
        <f>IFERROR(IF(AND(organisation_name="yes",VALUE(INDEX(#REF!,A579))&gt;0,ISBLANK(INDEX(#REF!,A579)),Tabel33[[#This Row],[organisation type]]=""),$B$176,""),"")</f>
        <v/>
      </c>
    </row>
    <row r="580" spans="1:10" outlineLevel="1" x14ac:dyDescent="0.35">
      <c r="A580" s="217">
        <v>61</v>
      </c>
      <c r="B580" s="217" t="str">
        <f t="array" ref="B580">IFERROR(INDEX(Tabel33[[#This Row],[Empty line]:[organisation name]],1,MATCH(TRUE,LEN(Tabel33[[#This Row],[Empty line]:[organisation name]])&gt;0,0)),"")</f>
        <v/>
      </c>
      <c r="C580" s="113" t="str">
        <f>IFERROR(IF(AND(LEN(INDEX(#REF!,$A580))+LEN(INDEX(#REF!,$A580))+LEN(INDEX(#REF!,$A580))+LEN(INDEX(#REF!,$A580))&gt;0,LEN(INDEX(#REF!,$A580-1))+LEN(INDEX(#REF!,$A580-1))+LEN(INDEX(#REF!,$A580-1))+LEN(INDEX(#REF!,$A580-1))=0),$B$127,""),"")</f>
        <v/>
      </c>
      <c r="D580" s="113" t="str">
        <f>IFERROR(IF(AND(INDEX(#REF!="",$A580),OR(INDEX(#REF!,$A580)&gt;0,INDEX(#REF!,$A580)&gt;0,INDEX(#REF!,$A580)&gt;0,LEN(INDEX(#REF!,$A580))&gt;0)),$B$171,""),"")</f>
        <v/>
      </c>
      <c r="E580" s="113" t="e">
        <f>IF(AND(INDEX(#REF!,A580)&lt;&gt;"",OR(INDEX(#REF!,A580)&lt;=0,INDEX(#REF!,A580)&lt;=0)),INDEX(salaries_academic[],MATCH(INDEX(#REF!,A580),salaries_academic[category],0),2),"")</f>
        <v>#REF!</v>
      </c>
      <c r="F580" s="113" t="str">
        <f>IFERROR(IF(Tabel33[[#This Row],[Instruction]]="",IF(AND(INDEX(#REF!="",A580),OR(INDEX(#REF!,A580)&lt;&gt;"",INDEX(#REF!,A580)&gt;0,INDEX(#REF!,A580)&gt;0,INDEX(#REF!,A580)&gt;0,LEN(INDEX(#REF!,A580))&gt;0)),$B$173,""),""),"")</f>
        <v/>
      </c>
      <c r="G580" s="113" t="e">
        <f>IF(AND(Tabel33[[#This Row],[Instruction]]="",Tabel33[[#This Row],[Country not specified]]=""),IF(AND(INDEX(#REF!,A580)&lt;&gt;"",INDEX(#REF!,A580)&lt;=0),IF(INDEX(salaries_academic[],MATCH(INDEX(#REF!,A580),salaries_academic[category],0),3)="",$B$172,""),""),"")</f>
        <v>#REF!</v>
      </c>
      <c r="H580" s="113" t="str">
        <f>IFERROR(IF(AND(INDEX(salaries_academic[],MATCH(INDEX(#REF!,A580),salaries_academic[category],0),3)&gt;0,INDEX(#REF!,A580)&gt;0),$B$174,""),"")</f>
        <v/>
      </c>
      <c r="I580" s="113" t="str">
        <f>IFERROR(IF(AND(organisation_type="yes",VALUE(INDEX(#REF!,A580))&gt;0,ISBLANK(INDEX(#REF!,A580))),$B$175,""),"")</f>
        <v/>
      </c>
      <c r="J580" s="113" t="str">
        <f>IFERROR(IF(AND(organisation_name="yes",VALUE(INDEX(#REF!,A580))&gt;0,ISBLANK(INDEX(#REF!,A580)),Tabel33[[#This Row],[organisation type]]=""),$B$176,""),"")</f>
        <v/>
      </c>
    </row>
    <row r="581" spans="1:10" outlineLevel="1" x14ac:dyDescent="0.35">
      <c r="A581" s="217">
        <v>62</v>
      </c>
      <c r="B581" s="217" t="str">
        <f t="array" ref="B581">IFERROR(INDEX(Tabel33[[#This Row],[Empty line]:[organisation name]],1,MATCH(TRUE,LEN(Tabel33[[#This Row],[Empty line]:[organisation name]])&gt;0,0)),"")</f>
        <v/>
      </c>
      <c r="C581" s="113" t="str">
        <f>IFERROR(IF(AND(LEN(INDEX(#REF!,$A581))+LEN(INDEX(#REF!,$A581))+LEN(INDEX(#REF!,$A581))+LEN(INDEX(#REF!,$A581))&gt;0,LEN(INDEX(#REF!,$A581-1))+LEN(INDEX(#REF!,$A581-1))+LEN(INDEX(#REF!,$A581-1))+LEN(INDEX(#REF!,$A581-1))=0),$B$127,""),"")</f>
        <v/>
      </c>
      <c r="D581" s="113" t="str">
        <f>IFERROR(IF(AND(INDEX(#REF!="",$A581),OR(INDEX(#REF!,$A581)&gt;0,INDEX(#REF!,$A581)&gt;0,INDEX(#REF!,$A581)&gt;0,LEN(INDEX(#REF!,$A581))&gt;0)),$B$171,""),"")</f>
        <v/>
      </c>
      <c r="E581" s="113" t="e">
        <f>IF(AND(INDEX(#REF!,A581)&lt;&gt;"",OR(INDEX(#REF!,A581)&lt;=0,INDEX(#REF!,A581)&lt;=0)),INDEX(salaries_academic[],MATCH(INDEX(#REF!,A581),salaries_academic[category],0),2),"")</f>
        <v>#REF!</v>
      </c>
      <c r="F581" s="113" t="str">
        <f>IFERROR(IF(Tabel33[[#This Row],[Instruction]]="",IF(AND(INDEX(#REF!="",A581),OR(INDEX(#REF!,A581)&lt;&gt;"",INDEX(#REF!,A581)&gt;0,INDEX(#REF!,A581)&gt;0,INDEX(#REF!,A581)&gt;0,LEN(INDEX(#REF!,A581))&gt;0)),$B$173,""),""),"")</f>
        <v/>
      </c>
      <c r="G581" s="113" t="e">
        <f>IF(AND(Tabel33[[#This Row],[Instruction]]="",Tabel33[[#This Row],[Country not specified]]=""),IF(AND(INDEX(#REF!,A581)&lt;&gt;"",INDEX(#REF!,A581)&lt;=0),IF(INDEX(salaries_academic[],MATCH(INDEX(#REF!,A581),salaries_academic[category],0),3)="",$B$172,""),""),"")</f>
        <v>#REF!</v>
      </c>
      <c r="H581" s="113" t="str">
        <f>IFERROR(IF(AND(INDEX(salaries_academic[],MATCH(INDEX(#REF!,A581),salaries_academic[category],0),3)&gt;0,INDEX(#REF!,A581)&gt;0),$B$174,""),"")</f>
        <v/>
      </c>
      <c r="I581" s="113" t="str">
        <f>IFERROR(IF(AND(organisation_type="yes",VALUE(INDEX(#REF!,A581))&gt;0,ISBLANK(INDEX(#REF!,A581))),$B$175,""),"")</f>
        <v/>
      </c>
      <c r="J581" s="113" t="str">
        <f>IFERROR(IF(AND(organisation_name="yes",VALUE(INDEX(#REF!,A581))&gt;0,ISBLANK(INDEX(#REF!,A581)),Tabel33[[#This Row],[organisation type]]=""),$B$176,""),"")</f>
        <v/>
      </c>
    </row>
    <row r="582" spans="1:10" outlineLevel="1" x14ac:dyDescent="0.35">
      <c r="A582" s="217">
        <v>63</v>
      </c>
      <c r="B582" s="217" t="str">
        <f t="array" ref="B582">IFERROR(INDEX(Tabel33[[#This Row],[Empty line]:[organisation name]],1,MATCH(TRUE,LEN(Tabel33[[#This Row],[Empty line]:[organisation name]])&gt;0,0)),"")</f>
        <v/>
      </c>
      <c r="C582" s="113" t="str">
        <f>IFERROR(IF(AND(LEN(INDEX(#REF!,$A582))+LEN(INDEX(#REF!,$A582))+LEN(INDEX(#REF!,$A582))+LEN(INDEX(#REF!,$A582))&gt;0,LEN(INDEX(#REF!,$A582-1))+LEN(INDEX(#REF!,$A582-1))+LEN(INDEX(#REF!,$A582-1))+LEN(INDEX(#REF!,$A582-1))=0),$B$127,""),"")</f>
        <v/>
      </c>
      <c r="D582" s="113" t="str">
        <f>IFERROR(IF(AND(INDEX(#REF!="",$A582),OR(INDEX(#REF!,$A582)&gt;0,INDEX(#REF!,$A582)&gt;0,INDEX(#REF!,$A582)&gt;0,LEN(INDEX(#REF!,$A582))&gt;0)),$B$171,""),"")</f>
        <v/>
      </c>
      <c r="E582" s="113" t="e">
        <f>IF(AND(INDEX(#REF!,A582)&lt;&gt;"",OR(INDEX(#REF!,A582)&lt;=0,INDEX(#REF!,A582)&lt;=0)),INDEX(salaries_academic[],MATCH(INDEX(#REF!,A582),salaries_academic[category],0),2),"")</f>
        <v>#REF!</v>
      </c>
      <c r="F582" s="113" t="str">
        <f>IFERROR(IF(Tabel33[[#This Row],[Instruction]]="",IF(AND(INDEX(#REF!="",A582),OR(INDEX(#REF!,A582)&lt;&gt;"",INDEX(#REF!,A582)&gt;0,INDEX(#REF!,A582)&gt;0,INDEX(#REF!,A582)&gt;0,LEN(INDEX(#REF!,A582))&gt;0)),$B$173,""),""),"")</f>
        <v/>
      </c>
      <c r="G582" s="113" t="e">
        <f>IF(AND(Tabel33[[#This Row],[Instruction]]="",Tabel33[[#This Row],[Country not specified]]=""),IF(AND(INDEX(#REF!,A582)&lt;&gt;"",INDEX(#REF!,A582)&lt;=0),IF(INDEX(salaries_academic[],MATCH(INDEX(#REF!,A582),salaries_academic[category],0),3)="",$B$172,""),""),"")</f>
        <v>#REF!</v>
      </c>
      <c r="H582" s="113" t="str">
        <f>IFERROR(IF(AND(INDEX(salaries_academic[],MATCH(INDEX(#REF!,A582),salaries_academic[category],0),3)&gt;0,INDEX(#REF!,A582)&gt;0),$B$174,""),"")</f>
        <v/>
      </c>
      <c r="I582" s="113" t="str">
        <f>IFERROR(IF(AND(organisation_type="yes",VALUE(INDEX(#REF!,A582))&gt;0,ISBLANK(INDEX(#REF!,A582))),$B$175,""),"")</f>
        <v/>
      </c>
      <c r="J582" s="113" t="str">
        <f>IFERROR(IF(AND(organisation_name="yes",VALUE(INDEX(#REF!,A582))&gt;0,ISBLANK(INDEX(#REF!,A582)),Tabel33[[#This Row],[organisation type]]=""),$B$176,""),"")</f>
        <v/>
      </c>
    </row>
    <row r="583" spans="1:10" outlineLevel="1" x14ac:dyDescent="0.35">
      <c r="A583" s="217">
        <v>64</v>
      </c>
      <c r="B583" s="217" t="str">
        <f t="array" ref="B583">IFERROR(INDEX(Tabel33[[#This Row],[Empty line]:[organisation name]],1,MATCH(TRUE,LEN(Tabel33[[#This Row],[Empty line]:[organisation name]])&gt;0,0)),"")</f>
        <v/>
      </c>
      <c r="C583" s="113" t="str">
        <f>IFERROR(IF(AND(LEN(INDEX(#REF!,$A583))+LEN(INDEX(#REF!,$A583))+LEN(INDEX(#REF!,$A583))+LEN(INDEX(#REF!,$A583))&gt;0,LEN(INDEX(#REF!,$A583-1))+LEN(INDEX(#REF!,$A583-1))+LEN(INDEX(#REF!,$A583-1))+LEN(INDEX(#REF!,$A583-1))=0),$B$127,""),"")</f>
        <v/>
      </c>
      <c r="D583" s="113" t="str">
        <f>IFERROR(IF(AND(INDEX(#REF!="",$A583),OR(INDEX(#REF!,$A583)&gt;0,INDEX(#REF!,$A583)&gt;0,INDEX(#REF!,$A583)&gt;0,LEN(INDEX(#REF!,$A583))&gt;0)),$B$171,""),"")</f>
        <v/>
      </c>
      <c r="E583" s="113" t="e">
        <f>IF(AND(INDEX(#REF!,A583)&lt;&gt;"",OR(INDEX(#REF!,A583)&lt;=0,INDEX(#REF!,A583)&lt;=0)),INDEX(salaries_academic[],MATCH(INDEX(#REF!,A583),salaries_academic[category],0),2),"")</f>
        <v>#REF!</v>
      </c>
      <c r="F583" s="113" t="str">
        <f>IFERROR(IF(Tabel33[[#This Row],[Instruction]]="",IF(AND(INDEX(#REF!="",A583),OR(INDEX(#REF!,A583)&lt;&gt;"",INDEX(#REF!,A583)&gt;0,INDEX(#REF!,A583)&gt;0,INDEX(#REF!,A583)&gt;0,LEN(INDEX(#REF!,A583))&gt;0)),$B$173,""),""),"")</f>
        <v/>
      </c>
      <c r="G583" s="113" t="e">
        <f>IF(AND(Tabel33[[#This Row],[Instruction]]="",Tabel33[[#This Row],[Country not specified]]=""),IF(AND(INDEX(#REF!,A583)&lt;&gt;"",INDEX(#REF!,A583)&lt;=0),IF(INDEX(salaries_academic[],MATCH(INDEX(#REF!,A583),salaries_academic[category],0),3)="",$B$172,""),""),"")</f>
        <v>#REF!</v>
      </c>
      <c r="H583" s="113" t="str">
        <f>IFERROR(IF(AND(INDEX(salaries_academic[],MATCH(INDEX(#REF!,A583),salaries_academic[category],0),3)&gt;0,INDEX(#REF!,A583)&gt;0),$B$174,""),"")</f>
        <v/>
      </c>
      <c r="I583" s="113" t="str">
        <f>IFERROR(IF(AND(organisation_type="yes",VALUE(INDEX(#REF!,A583))&gt;0,ISBLANK(INDEX(#REF!,A583))),$B$175,""),"")</f>
        <v/>
      </c>
      <c r="J583" s="113" t="str">
        <f>IFERROR(IF(AND(organisation_name="yes",VALUE(INDEX(#REF!,A583))&gt;0,ISBLANK(INDEX(#REF!,A583)),Tabel33[[#This Row],[organisation type]]=""),$B$176,""),"")</f>
        <v/>
      </c>
    </row>
    <row r="584" spans="1:10" outlineLevel="1" x14ac:dyDescent="0.35">
      <c r="A584" s="217">
        <v>65</v>
      </c>
      <c r="B584" s="217" t="str">
        <f t="array" ref="B584">IFERROR(INDEX(Tabel33[[#This Row],[Empty line]:[organisation name]],1,MATCH(TRUE,LEN(Tabel33[[#This Row],[Empty line]:[organisation name]])&gt;0,0)),"")</f>
        <v/>
      </c>
      <c r="C584" s="113" t="str">
        <f>IFERROR(IF(AND(LEN(INDEX(#REF!,$A584))+LEN(INDEX(#REF!,$A584))+LEN(INDEX(#REF!,$A584))+LEN(INDEX(#REF!,$A584))&gt;0,LEN(INDEX(#REF!,$A584-1))+LEN(INDEX(#REF!,$A584-1))+LEN(INDEX(#REF!,$A584-1))+LEN(INDEX(#REF!,$A584-1))=0),$B$127,""),"")</f>
        <v/>
      </c>
      <c r="D584" s="113" t="str">
        <f>IFERROR(IF(AND(INDEX(#REF!="",$A584),OR(INDEX(#REF!,$A584)&gt;0,INDEX(#REF!,$A584)&gt;0,INDEX(#REF!,$A584)&gt;0,LEN(INDEX(#REF!,$A584))&gt;0)),$B$171,""),"")</f>
        <v/>
      </c>
      <c r="E584" s="113" t="e">
        <f>IF(AND(INDEX(#REF!,A584)&lt;&gt;"",OR(INDEX(#REF!,A584)&lt;=0,INDEX(#REF!,A584)&lt;=0)),INDEX(salaries_academic[],MATCH(INDEX(#REF!,A584),salaries_academic[category],0),2),"")</f>
        <v>#REF!</v>
      </c>
      <c r="F584" s="113" t="str">
        <f>IFERROR(IF(Tabel33[[#This Row],[Instruction]]="",IF(AND(INDEX(#REF!="",A584),OR(INDEX(#REF!,A584)&lt;&gt;"",INDEX(#REF!,A584)&gt;0,INDEX(#REF!,A584)&gt;0,INDEX(#REF!,A584)&gt;0,LEN(INDEX(#REF!,A584))&gt;0)),$B$173,""),""),"")</f>
        <v/>
      </c>
      <c r="G584" s="113" t="e">
        <f>IF(AND(Tabel33[[#This Row],[Instruction]]="",Tabel33[[#This Row],[Country not specified]]=""),IF(AND(INDEX(#REF!,A584)&lt;&gt;"",INDEX(#REF!,A584)&lt;=0),IF(INDEX(salaries_academic[],MATCH(INDEX(#REF!,A584),salaries_academic[category],0),3)="",$B$172,""),""),"")</f>
        <v>#REF!</v>
      </c>
      <c r="H584" s="113" t="str">
        <f>IFERROR(IF(AND(INDEX(salaries_academic[],MATCH(INDEX(#REF!,A584),salaries_academic[category],0),3)&gt;0,INDEX(#REF!,A584)&gt;0),$B$174,""),"")</f>
        <v/>
      </c>
      <c r="I584" s="113" t="str">
        <f>IFERROR(IF(AND(organisation_type="yes",VALUE(INDEX(#REF!,A584))&gt;0,ISBLANK(INDEX(#REF!,A584))),$B$175,""),"")</f>
        <v/>
      </c>
      <c r="J584" s="113" t="str">
        <f>IFERROR(IF(AND(organisation_name="yes",VALUE(INDEX(#REF!,A584))&gt;0,ISBLANK(INDEX(#REF!,A584)),Tabel33[[#This Row],[organisation type]]=""),$B$176,""),"")</f>
        <v/>
      </c>
    </row>
    <row r="585" spans="1:10" outlineLevel="1" x14ac:dyDescent="0.35">
      <c r="A585" s="217">
        <v>66</v>
      </c>
      <c r="B585" s="217" t="str">
        <f t="array" ref="B585">IFERROR(INDEX(Tabel33[[#This Row],[Empty line]:[organisation name]],1,MATCH(TRUE,LEN(Tabel33[[#This Row],[Empty line]:[organisation name]])&gt;0,0)),"")</f>
        <v/>
      </c>
      <c r="C585" s="113" t="str">
        <f>IFERROR(IF(AND(LEN(INDEX(#REF!,$A585))+LEN(INDEX(#REF!,$A585))+LEN(INDEX(#REF!,$A585))+LEN(INDEX(#REF!,$A585))&gt;0,LEN(INDEX(#REF!,$A585-1))+LEN(INDEX(#REF!,$A585-1))+LEN(INDEX(#REF!,$A585-1))+LEN(INDEX(#REF!,$A585-1))=0),$B$127,""),"")</f>
        <v/>
      </c>
      <c r="D585" s="113" t="str">
        <f>IFERROR(IF(AND(INDEX(#REF!="",$A585),OR(INDEX(#REF!,$A585)&gt;0,INDEX(#REF!,$A585)&gt;0,INDEX(#REF!,$A585)&gt;0,LEN(INDEX(#REF!,$A585))&gt;0)),$B$171,""),"")</f>
        <v/>
      </c>
      <c r="E585" s="113" t="e">
        <f>IF(AND(INDEX(#REF!,A585)&lt;&gt;"",OR(INDEX(#REF!,A585)&lt;=0,INDEX(#REF!,A585)&lt;=0)),INDEX(salaries_academic[],MATCH(INDEX(#REF!,A585),salaries_academic[category],0),2),"")</f>
        <v>#REF!</v>
      </c>
      <c r="F585" s="113" t="str">
        <f>IFERROR(IF(Tabel33[[#This Row],[Instruction]]="",IF(AND(INDEX(#REF!="",A585),OR(INDEX(#REF!,A585)&lt;&gt;"",INDEX(#REF!,A585)&gt;0,INDEX(#REF!,A585)&gt;0,INDEX(#REF!,A585)&gt;0,LEN(INDEX(#REF!,A585))&gt;0)),$B$173,""),""),"")</f>
        <v/>
      </c>
      <c r="G585" s="113" t="e">
        <f>IF(AND(Tabel33[[#This Row],[Instruction]]="",Tabel33[[#This Row],[Country not specified]]=""),IF(AND(INDEX(#REF!,A585)&lt;&gt;"",INDEX(#REF!,A585)&lt;=0),IF(INDEX(salaries_academic[],MATCH(INDEX(#REF!,A585),salaries_academic[category],0),3)="",$B$172,""),""),"")</f>
        <v>#REF!</v>
      </c>
      <c r="H585" s="113" t="str">
        <f>IFERROR(IF(AND(INDEX(salaries_academic[],MATCH(INDEX(#REF!,A585),salaries_academic[category],0),3)&gt;0,INDEX(#REF!,A585)&gt;0),$B$174,""),"")</f>
        <v/>
      </c>
      <c r="I585" s="113" t="str">
        <f>IFERROR(IF(AND(organisation_type="yes",VALUE(INDEX(#REF!,A585))&gt;0,ISBLANK(INDEX(#REF!,A585))),$B$175,""),"")</f>
        <v/>
      </c>
      <c r="J585" s="113" t="str">
        <f>IFERROR(IF(AND(organisation_name="yes",VALUE(INDEX(#REF!,A585))&gt;0,ISBLANK(INDEX(#REF!,A585)),Tabel33[[#This Row],[organisation type]]=""),$B$176,""),"")</f>
        <v/>
      </c>
    </row>
    <row r="586" spans="1:10" outlineLevel="1" x14ac:dyDescent="0.35">
      <c r="A586" s="217">
        <v>67</v>
      </c>
      <c r="B586" s="217" t="str">
        <f t="array" ref="B586">IFERROR(INDEX(Tabel33[[#This Row],[Empty line]:[organisation name]],1,MATCH(TRUE,LEN(Tabel33[[#This Row],[Empty line]:[organisation name]])&gt;0,0)),"")</f>
        <v/>
      </c>
      <c r="C586" s="113" t="str">
        <f>IFERROR(IF(AND(LEN(INDEX(#REF!,$A586))+LEN(INDEX(#REF!,$A586))+LEN(INDEX(#REF!,$A586))+LEN(INDEX(#REF!,$A586))&gt;0,LEN(INDEX(#REF!,$A586-1))+LEN(INDEX(#REF!,$A586-1))+LEN(INDEX(#REF!,$A586-1))+LEN(INDEX(#REF!,$A586-1))=0),$B$127,""),"")</f>
        <v/>
      </c>
      <c r="D586" s="113" t="str">
        <f>IFERROR(IF(AND(INDEX(#REF!="",$A586),OR(INDEX(#REF!,$A586)&gt;0,INDEX(#REF!,$A586)&gt;0,INDEX(#REF!,$A586)&gt;0,LEN(INDEX(#REF!,$A586))&gt;0)),$B$171,""),"")</f>
        <v/>
      </c>
      <c r="E586" s="113" t="e">
        <f>IF(AND(INDEX(#REF!,A586)&lt;&gt;"",OR(INDEX(#REF!,A586)&lt;=0,INDEX(#REF!,A586)&lt;=0)),INDEX(salaries_academic[],MATCH(INDEX(#REF!,A586),salaries_academic[category],0),2),"")</f>
        <v>#REF!</v>
      </c>
      <c r="F586" s="113" t="str">
        <f>IFERROR(IF(Tabel33[[#This Row],[Instruction]]="",IF(AND(INDEX(#REF!="",A586),OR(INDEX(#REF!,A586)&lt;&gt;"",INDEX(#REF!,A586)&gt;0,INDEX(#REF!,A586)&gt;0,INDEX(#REF!,A586)&gt;0,LEN(INDEX(#REF!,A586))&gt;0)),$B$173,""),""),"")</f>
        <v/>
      </c>
      <c r="G586" s="113" t="e">
        <f>IF(AND(Tabel33[[#This Row],[Instruction]]="",Tabel33[[#This Row],[Country not specified]]=""),IF(AND(INDEX(#REF!,A586)&lt;&gt;"",INDEX(#REF!,A586)&lt;=0),IF(INDEX(salaries_academic[],MATCH(INDEX(#REF!,A586),salaries_academic[category],0),3)="",$B$172,""),""),"")</f>
        <v>#REF!</v>
      </c>
      <c r="H586" s="113" t="str">
        <f>IFERROR(IF(AND(INDEX(salaries_academic[],MATCH(INDEX(#REF!,A586),salaries_academic[category],0),3)&gt;0,INDEX(#REF!,A586)&gt;0),$B$174,""),"")</f>
        <v/>
      </c>
      <c r="I586" s="113" t="str">
        <f>IFERROR(IF(AND(organisation_type="yes",VALUE(INDEX(#REF!,A586))&gt;0,ISBLANK(INDEX(#REF!,A586))),$B$175,""),"")</f>
        <v/>
      </c>
      <c r="J586" s="113" t="str">
        <f>IFERROR(IF(AND(organisation_name="yes",VALUE(INDEX(#REF!,A586))&gt;0,ISBLANK(INDEX(#REF!,A586)),Tabel33[[#This Row],[organisation type]]=""),$B$176,""),"")</f>
        <v/>
      </c>
    </row>
    <row r="587" spans="1:10" outlineLevel="1" x14ac:dyDescent="0.35">
      <c r="A587" s="217">
        <v>68</v>
      </c>
      <c r="B587" s="217" t="str">
        <f t="array" ref="B587">IFERROR(INDEX(Tabel33[[#This Row],[Empty line]:[organisation name]],1,MATCH(TRUE,LEN(Tabel33[[#This Row],[Empty line]:[organisation name]])&gt;0,0)),"")</f>
        <v/>
      </c>
      <c r="C587" s="113" t="str">
        <f>IFERROR(IF(AND(LEN(INDEX(#REF!,$A587))+LEN(INDEX(#REF!,$A587))+LEN(INDEX(#REF!,$A587))+LEN(INDEX(#REF!,$A587))&gt;0,LEN(INDEX(#REF!,$A587-1))+LEN(INDEX(#REF!,$A587-1))+LEN(INDEX(#REF!,$A587-1))+LEN(INDEX(#REF!,$A587-1))=0),$B$127,""),"")</f>
        <v/>
      </c>
      <c r="D587" s="113" t="str">
        <f>IFERROR(IF(AND(INDEX(#REF!="",$A587),OR(INDEX(#REF!,$A587)&gt;0,INDEX(#REF!,$A587)&gt;0,INDEX(#REF!,$A587)&gt;0,LEN(INDEX(#REF!,$A587))&gt;0)),$B$171,""),"")</f>
        <v/>
      </c>
      <c r="E587" s="113" t="e">
        <f>IF(AND(INDEX(#REF!,A587)&lt;&gt;"",OR(INDEX(#REF!,A587)&lt;=0,INDEX(#REF!,A587)&lt;=0)),INDEX(salaries_academic[],MATCH(INDEX(#REF!,A587),salaries_academic[category],0),2),"")</f>
        <v>#REF!</v>
      </c>
      <c r="F587" s="113" t="str">
        <f>IFERROR(IF(Tabel33[[#This Row],[Instruction]]="",IF(AND(INDEX(#REF!="",A587),OR(INDEX(#REF!,A587)&lt;&gt;"",INDEX(#REF!,A587)&gt;0,INDEX(#REF!,A587)&gt;0,INDEX(#REF!,A587)&gt;0,LEN(INDEX(#REF!,A587))&gt;0)),$B$173,""),""),"")</f>
        <v/>
      </c>
      <c r="G587" s="113" t="e">
        <f>IF(AND(Tabel33[[#This Row],[Instruction]]="",Tabel33[[#This Row],[Country not specified]]=""),IF(AND(INDEX(#REF!,A587)&lt;&gt;"",INDEX(#REF!,A587)&lt;=0),IF(INDEX(salaries_academic[],MATCH(INDEX(#REF!,A587),salaries_academic[category],0),3)="",$B$172,""),""),"")</f>
        <v>#REF!</v>
      </c>
      <c r="H587" s="113" t="str">
        <f>IFERROR(IF(AND(INDEX(salaries_academic[],MATCH(INDEX(#REF!,A587),salaries_academic[category],0),3)&gt;0,INDEX(#REF!,A587)&gt;0),$B$174,""),"")</f>
        <v/>
      </c>
      <c r="I587" s="113" t="str">
        <f>IFERROR(IF(AND(organisation_type="yes",VALUE(INDEX(#REF!,A587))&gt;0,ISBLANK(INDEX(#REF!,A587))),$B$175,""),"")</f>
        <v/>
      </c>
      <c r="J587" s="113" t="str">
        <f>IFERROR(IF(AND(organisation_name="yes",VALUE(INDEX(#REF!,A587))&gt;0,ISBLANK(INDEX(#REF!,A587)),Tabel33[[#This Row],[organisation type]]=""),$B$176,""),"")</f>
        <v/>
      </c>
    </row>
    <row r="588" spans="1:10" outlineLevel="1" x14ac:dyDescent="0.35">
      <c r="A588" s="217">
        <v>69</v>
      </c>
      <c r="B588" s="217" t="str">
        <f t="array" ref="B588">IFERROR(INDEX(Tabel33[[#This Row],[Empty line]:[organisation name]],1,MATCH(TRUE,LEN(Tabel33[[#This Row],[Empty line]:[organisation name]])&gt;0,0)),"")</f>
        <v/>
      </c>
      <c r="C588" s="113" t="str">
        <f>IFERROR(IF(AND(LEN(INDEX(#REF!,$A588))+LEN(INDEX(#REF!,$A588))+LEN(INDEX(#REF!,$A588))+LEN(INDEX(#REF!,$A588))&gt;0,LEN(INDEX(#REF!,$A588-1))+LEN(INDEX(#REF!,$A588-1))+LEN(INDEX(#REF!,$A588-1))+LEN(INDEX(#REF!,$A588-1))=0),$B$127,""),"")</f>
        <v/>
      </c>
      <c r="D588" s="113" t="str">
        <f>IFERROR(IF(AND(INDEX(#REF!="",$A588),OR(INDEX(#REF!,$A588)&gt;0,INDEX(#REF!,$A588)&gt;0,INDEX(#REF!,$A588)&gt;0,LEN(INDEX(#REF!,$A588))&gt;0)),$B$171,""),"")</f>
        <v/>
      </c>
      <c r="E588" s="113" t="e">
        <f>IF(AND(INDEX(#REF!,A588)&lt;&gt;"",OR(INDEX(#REF!,A588)&lt;=0,INDEX(#REF!,A588)&lt;=0)),INDEX(salaries_academic[],MATCH(INDEX(#REF!,A588),salaries_academic[category],0),2),"")</f>
        <v>#REF!</v>
      </c>
      <c r="F588" s="113" t="str">
        <f>IFERROR(IF(Tabel33[[#This Row],[Instruction]]="",IF(AND(INDEX(#REF!="",A588),OR(INDEX(#REF!,A588)&lt;&gt;"",INDEX(#REF!,A588)&gt;0,INDEX(#REF!,A588)&gt;0,INDEX(#REF!,A588)&gt;0,LEN(INDEX(#REF!,A588))&gt;0)),$B$173,""),""),"")</f>
        <v/>
      </c>
      <c r="G588" s="113" t="e">
        <f>IF(AND(Tabel33[[#This Row],[Instruction]]="",Tabel33[[#This Row],[Country not specified]]=""),IF(AND(INDEX(#REF!,A588)&lt;&gt;"",INDEX(#REF!,A588)&lt;=0),IF(INDEX(salaries_academic[],MATCH(INDEX(#REF!,A588),salaries_academic[category],0),3)="",$B$172,""),""),"")</f>
        <v>#REF!</v>
      </c>
      <c r="H588" s="113" t="str">
        <f>IFERROR(IF(AND(INDEX(salaries_academic[],MATCH(INDEX(#REF!,A588),salaries_academic[category],0),3)&gt;0,INDEX(#REF!,A588)&gt;0),$B$174,""),"")</f>
        <v/>
      </c>
      <c r="I588" s="113" t="str">
        <f>IFERROR(IF(AND(organisation_type="yes",VALUE(INDEX(#REF!,A588))&gt;0,ISBLANK(INDEX(#REF!,A588))),$B$175,""),"")</f>
        <v/>
      </c>
      <c r="J588" s="113" t="str">
        <f>IFERROR(IF(AND(organisation_name="yes",VALUE(INDEX(#REF!,A588))&gt;0,ISBLANK(INDEX(#REF!,A588)),Tabel33[[#This Row],[organisation type]]=""),$B$176,""),"")</f>
        <v/>
      </c>
    </row>
    <row r="589" spans="1:10" outlineLevel="1" x14ac:dyDescent="0.35">
      <c r="A589" s="217">
        <v>70</v>
      </c>
      <c r="B589" s="217" t="str">
        <f t="array" ref="B589">IFERROR(INDEX(Tabel33[[#This Row],[Empty line]:[organisation name]],1,MATCH(TRUE,LEN(Tabel33[[#This Row],[Empty line]:[organisation name]])&gt;0,0)),"")</f>
        <v/>
      </c>
      <c r="C589" s="113" t="str">
        <f>IFERROR(IF(AND(LEN(INDEX(#REF!,$A589))+LEN(INDEX(#REF!,$A589))+LEN(INDEX(#REF!,$A589))+LEN(INDEX(#REF!,$A589))&gt;0,LEN(INDEX(#REF!,$A589-1))+LEN(INDEX(#REF!,$A589-1))+LEN(INDEX(#REF!,$A589-1))+LEN(INDEX(#REF!,$A589-1))=0),$B$127,""),"")</f>
        <v/>
      </c>
      <c r="D589" s="113" t="str">
        <f>IFERROR(IF(AND(INDEX(#REF!="",$A589),OR(INDEX(#REF!,$A589)&gt;0,INDEX(#REF!,$A589)&gt;0,INDEX(#REF!,$A589)&gt;0,LEN(INDEX(#REF!,$A589))&gt;0)),$B$171,""),"")</f>
        <v/>
      </c>
      <c r="E589" s="113" t="e">
        <f>IF(AND(INDEX(#REF!,A589)&lt;&gt;"",OR(INDEX(#REF!,A589)&lt;=0,INDEX(#REF!,A589)&lt;=0)),INDEX(salaries_academic[],MATCH(INDEX(#REF!,A589),salaries_academic[category],0),2),"")</f>
        <v>#REF!</v>
      </c>
      <c r="F589" s="113" t="str">
        <f>IFERROR(IF(Tabel33[[#This Row],[Instruction]]="",IF(AND(INDEX(#REF!="",A589),OR(INDEX(#REF!,A589)&lt;&gt;"",INDEX(#REF!,A589)&gt;0,INDEX(#REF!,A589)&gt;0,INDEX(#REF!,A589)&gt;0,LEN(INDEX(#REF!,A589))&gt;0)),$B$173,""),""),"")</f>
        <v/>
      </c>
      <c r="G589" s="113" t="e">
        <f>IF(AND(Tabel33[[#This Row],[Instruction]]="",Tabel33[[#This Row],[Country not specified]]=""),IF(AND(INDEX(#REF!,A589)&lt;&gt;"",INDEX(#REF!,A589)&lt;=0),IF(INDEX(salaries_academic[],MATCH(INDEX(#REF!,A589),salaries_academic[category],0),3)="",$B$172,""),""),"")</f>
        <v>#REF!</v>
      </c>
      <c r="H589" s="113" t="str">
        <f>IFERROR(IF(AND(INDEX(salaries_academic[],MATCH(INDEX(#REF!,A589),salaries_academic[category],0),3)&gt;0,INDEX(#REF!,A589)&gt;0),$B$174,""),"")</f>
        <v/>
      </c>
      <c r="I589" s="113" t="str">
        <f>IFERROR(IF(AND(organisation_type="yes",VALUE(INDEX(#REF!,A589))&gt;0,ISBLANK(INDEX(#REF!,A589))),$B$175,""),"")</f>
        <v/>
      </c>
      <c r="J589" s="113" t="str">
        <f>IFERROR(IF(AND(organisation_name="yes",VALUE(INDEX(#REF!,A589))&gt;0,ISBLANK(INDEX(#REF!,A589)),Tabel33[[#This Row],[organisation type]]=""),$B$176,""),"")</f>
        <v/>
      </c>
    </row>
    <row r="590" spans="1:10" outlineLevel="1" x14ac:dyDescent="0.35">
      <c r="A590" s="217">
        <v>71</v>
      </c>
      <c r="B590" s="217" t="str">
        <f t="array" ref="B590">IFERROR(INDEX(Tabel33[[#This Row],[Empty line]:[organisation name]],1,MATCH(TRUE,LEN(Tabel33[[#This Row],[Empty line]:[organisation name]])&gt;0,0)),"")</f>
        <v/>
      </c>
      <c r="C590" s="113" t="str">
        <f>IFERROR(IF(AND(LEN(INDEX(#REF!,$A590))+LEN(INDEX(#REF!,$A590))+LEN(INDEX(#REF!,$A590))+LEN(INDEX(#REF!,$A590))&gt;0,LEN(INDEX(#REF!,$A590-1))+LEN(INDEX(#REF!,$A590-1))+LEN(INDEX(#REF!,$A590-1))+LEN(INDEX(#REF!,$A590-1))=0),$B$127,""),"")</f>
        <v/>
      </c>
      <c r="D590" s="113" t="str">
        <f>IFERROR(IF(AND(INDEX(#REF!="",$A590),OR(INDEX(#REF!,$A590)&gt;0,INDEX(#REF!,$A590)&gt;0,INDEX(#REF!,$A590)&gt;0,LEN(INDEX(#REF!,$A590))&gt;0)),$B$171,""),"")</f>
        <v/>
      </c>
      <c r="E590" s="113" t="e">
        <f>IF(AND(INDEX(#REF!,A590)&lt;&gt;"",OR(INDEX(#REF!,A590)&lt;=0,INDEX(#REF!,A590)&lt;=0)),INDEX(salaries_academic[],MATCH(INDEX(#REF!,A590),salaries_academic[category],0),2),"")</f>
        <v>#REF!</v>
      </c>
      <c r="F590" s="113" t="str">
        <f>IFERROR(IF(Tabel33[[#This Row],[Instruction]]="",IF(AND(INDEX(#REF!="",A590),OR(INDEX(#REF!,A590)&lt;&gt;"",INDEX(#REF!,A590)&gt;0,INDEX(#REF!,A590)&gt;0,INDEX(#REF!,A590)&gt;0,LEN(INDEX(#REF!,A590))&gt;0)),$B$173,""),""),"")</f>
        <v/>
      </c>
      <c r="G590" s="113" t="e">
        <f>IF(AND(Tabel33[[#This Row],[Instruction]]="",Tabel33[[#This Row],[Country not specified]]=""),IF(AND(INDEX(#REF!,A590)&lt;&gt;"",INDEX(#REF!,A590)&lt;=0),IF(INDEX(salaries_academic[],MATCH(INDEX(#REF!,A590),salaries_academic[category],0),3)="",$B$172,""),""),"")</f>
        <v>#REF!</v>
      </c>
      <c r="H590" s="113" t="str">
        <f>IFERROR(IF(AND(INDEX(salaries_academic[],MATCH(INDEX(#REF!,A590),salaries_academic[category],0),3)&gt;0,INDEX(#REF!,A590)&gt;0),$B$174,""),"")</f>
        <v/>
      </c>
      <c r="I590" s="113" t="str">
        <f>IFERROR(IF(AND(organisation_type="yes",VALUE(INDEX(#REF!,A590))&gt;0,ISBLANK(INDEX(#REF!,A590))),$B$175,""),"")</f>
        <v/>
      </c>
      <c r="J590" s="113" t="str">
        <f>IFERROR(IF(AND(organisation_name="yes",VALUE(INDEX(#REF!,A590))&gt;0,ISBLANK(INDEX(#REF!,A590)),Tabel33[[#This Row],[organisation type]]=""),$B$176,""),"")</f>
        <v/>
      </c>
    </row>
    <row r="591" spans="1:10" outlineLevel="1" x14ac:dyDescent="0.35">
      <c r="A591" s="217">
        <v>72</v>
      </c>
      <c r="B591" s="217" t="str">
        <f t="array" ref="B591">IFERROR(INDEX(Tabel33[[#This Row],[Empty line]:[organisation name]],1,MATCH(TRUE,LEN(Tabel33[[#This Row],[Empty line]:[organisation name]])&gt;0,0)),"")</f>
        <v/>
      </c>
      <c r="C591" s="113" t="str">
        <f>IFERROR(IF(AND(LEN(INDEX(#REF!,$A591))+LEN(INDEX(#REF!,$A591))+LEN(INDEX(#REF!,$A591))+LEN(INDEX(#REF!,$A591))&gt;0,LEN(INDEX(#REF!,$A591-1))+LEN(INDEX(#REF!,$A591-1))+LEN(INDEX(#REF!,$A591-1))+LEN(INDEX(#REF!,$A591-1))=0),$B$127,""),"")</f>
        <v/>
      </c>
      <c r="D591" s="113" t="str">
        <f>IFERROR(IF(AND(INDEX(#REF!="",$A591),OR(INDEX(#REF!,$A591)&gt;0,INDEX(#REF!,$A591)&gt;0,INDEX(#REF!,$A591)&gt;0,LEN(INDEX(#REF!,$A591))&gt;0)),$B$171,""),"")</f>
        <v/>
      </c>
      <c r="E591" s="113" t="e">
        <f>IF(AND(INDEX(#REF!,A591)&lt;&gt;"",OR(INDEX(#REF!,A591)&lt;=0,INDEX(#REF!,A591)&lt;=0)),INDEX(salaries_academic[],MATCH(INDEX(#REF!,A591),salaries_academic[category],0),2),"")</f>
        <v>#REF!</v>
      </c>
      <c r="F591" s="113" t="str">
        <f>IFERROR(IF(Tabel33[[#This Row],[Instruction]]="",IF(AND(INDEX(#REF!="",A591),OR(INDEX(#REF!,A591)&lt;&gt;"",INDEX(#REF!,A591)&gt;0,INDEX(#REF!,A591)&gt;0,INDEX(#REF!,A591)&gt;0,LEN(INDEX(#REF!,A591))&gt;0)),$B$173,""),""),"")</f>
        <v/>
      </c>
      <c r="G591" s="113" t="e">
        <f>IF(AND(Tabel33[[#This Row],[Instruction]]="",Tabel33[[#This Row],[Country not specified]]=""),IF(AND(INDEX(#REF!,A591)&lt;&gt;"",INDEX(#REF!,A591)&lt;=0),IF(INDEX(salaries_academic[],MATCH(INDEX(#REF!,A591),salaries_academic[category],0),3)="",$B$172,""),""),"")</f>
        <v>#REF!</v>
      </c>
      <c r="H591" s="113" t="str">
        <f>IFERROR(IF(AND(INDEX(salaries_academic[],MATCH(INDEX(#REF!,A591),salaries_academic[category],0),3)&gt;0,INDEX(#REF!,A591)&gt;0),$B$174,""),"")</f>
        <v/>
      </c>
      <c r="I591" s="113" t="str">
        <f>IFERROR(IF(AND(organisation_type="yes",VALUE(INDEX(#REF!,A591))&gt;0,ISBLANK(INDEX(#REF!,A591))),$B$175,""),"")</f>
        <v/>
      </c>
      <c r="J591" s="113" t="str">
        <f>IFERROR(IF(AND(organisation_name="yes",VALUE(INDEX(#REF!,A591))&gt;0,ISBLANK(INDEX(#REF!,A591)),Tabel33[[#This Row],[organisation type]]=""),$B$176,""),"")</f>
        <v/>
      </c>
    </row>
    <row r="592" spans="1:10" outlineLevel="1" x14ac:dyDescent="0.35">
      <c r="A592" s="217">
        <v>73</v>
      </c>
      <c r="B592" s="217" t="str">
        <f t="array" ref="B592">IFERROR(INDEX(Tabel33[[#This Row],[Empty line]:[organisation name]],1,MATCH(TRUE,LEN(Tabel33[[#This Row],[Empty line]:[organisation name]])&gt;0,0)),"")</f>
        <v/>
      </c>
      <c r="C592" s="113" t="str">
        <f>IFERROR(IF(AND(LEN(INDEX(#REF!,$A592))+LEN(INDEX(#REF!,$A592))+LEN(INDEX(#REF!,$A592))+LEN(INDEX(#REF!,$A592))&gt;0,LEN(INDEX(#REF!,$A592-1))+LEN(INDEX(#REF!,$A592-1))+LEN(INDEX(#REF!,$A592-1))+LEN(INDEX(#REF!,$A592-1))=0),$B$127,""),"")</f>
        <v/>
      </c>
      <c r="D592" s="113" t="str">
        <f>IFERROR(IF(AND(INDEX(#REF!="",$A592),OR(INDEX(#REF!,$A592)&gt;0,INDEX(#REF!,$A592)&gt;0,INDEX(#REF!,$A592)&gt;0,LEN(INDEX(#REF!,$A592))&gt;0)),$B$171,""),"")</f>
        <v/>
      </c>
      <c r="E592" s="113" t="e">
        <f>IF(AND(INDEX(#REF!,A592)&lt;&gt;"",OR(INDEX(#REF!,A592)&lt;=0,INDEX(#REF!,A592)&lt;=0)),INDEX(salaries_academic[],MATCH(INDEX(#REF!,A592),salaries_academic[category],0),2),"")</f>
        <v>#REF!</v>
      </c>
      <c r="F592" s="113" t="str">
        <f>IFERROR(IF(Tabel33[[#This Row],[Instruction]]="",IF(AND(INDEX(#REF!="",A592),OR(INDEX(#REF!,A592)&lt;&gt;"",INDEX(#REF!,A592)&gt;0,INDEX(#REF!,A592)&gt;0,INDEX(#REF!,A592)&gt;0,LEN(INDEX(#REF!,A592))&gt;0)),$B$173,""),""),"")</f>
        <v/>
      </c>
      <c r="G592" s="113" t="e">
        <f>IF(AND(Tabel33[[#This Row],[Instruction]]="",Tabel33[[#This Row],[Country not specified]]=""),IF(AND(INDEX(#REF!,A592)&lt;&gt;"",INDEX(#REF!,A592)&lt;=0),IF(INDEX(salaries_academic[],MATCH(INDEX(#REF!,A592),salaries_academic[category],0),3)="",$B$172,""),""),"")</f>
        <v>#REF!</v>
      </c>
      <c r="H592" s="113" t="str">
        <f>IFERROR(IF(AND(INDEX(salaries_academic[],MATCH(INDEX(#REF!,A592),salaries_academic[category],0),3)&gt;0,INDEX(#REF!,A592)&gt;0),$B$174,""),"")</f>
        <v/>
      </c>
      <c r="I592" s="113" t="str">
        <f>IFERROR(IF(AND(organisation_type="yes",VALUE(INDEX(#REF!,A592))&gt;0,ISBLANK(INDEX(#REF!,A592))),$B$175,""),"")</f>
        <v/>
      </c>
      <c r="J592" s="113" t="str">
        <f>IFERROR(IF(AND(organisation_name="yes",VALUE(INDEX(#REF!,A592))&gt;0,ISBLANK(INDEX(#REF!,A592)),Tabel33[[#This Row],[organisation type]]=""),$B$176,""),"")</f>
        <v/>
      </c>
    </row>
    <row r="593" spans="1:10" outlineLevel="1" x14ac:dyDescent="0.35">
      <c r="A593" s="217">
        <v>74</v>
      </c>
      <c r="B593" s="217" t="str">
        <f t="array" ref="B593">IFERROR(INDEX(Tabel33[[#This Row],[Empty line]:[organisation name]],1,MATCH(TRUE,LEN(Tabel33[[#This Row],[Empty line]:[organisation name]])&gt;0,0)),"")</f>
        <v/>
      </c>
      <c r="C593" s="113" t="str">
        <f>IFERROR(IF(AND(LEN(INDEX(#REF!,$A593))+LEN(INDEX(#REF!,$A593))+LEN(INDEX(#REF!,$A593))+LEN(INDEX(#REF!,$A593))&gt;0,LEN(INDEX(#REF!,$A593-1))+LEN(INDEX(#REF!,$A593-1))+LEN(INDEX(#REF!,$A593-1))+LEN(INDEX(#REF!,$A593-1))=0),$B$127,""),"")</f>
        <v/>
      </c>
      <c r="D593" s="113" t="str">
        <f>IFERROR(IF(AND(INDEX(#REF!="",$A593),OR(INDEX(#REF!,$A593)&gt;0,INDEX(#REF!,$A593)&gt;0,INDEX(#REF!,$A593)&gt;0,LEN(INDEX(#REF!,$A593))&gt;0)),$B$171,""),"")</f>
        <v/>
      </c>
      <c r="E593" s="113" t="e">
        <f>IF(AND(INDEX(#REF!,A593)&lt;&gt;"",OR(INDEX(#REF!,A593)&lt;=0,INDEX(#REF!,A593)&lt;=0)),INDEX(salaries_academic[],MATCH(INDEX(#REF!,A593),salaries_academic[category],0),2),"")</f>
        <v>#REF!</v>
      </c>
      <c r="F593" s="113" t="str">
        <f>IFERROR(IF(Tabel33[[#This Row],[Instruction]]="",IF(AND(INDEX(#REF!="",A593),OR(INDEX(#REF!,A593)&lt;&gt;"",INDEX(#REF!,A593)&gt;0,INDEX(#REF!,A593)&gt;0,INDEX(#REF!,A593)&gt;0,LEN(INDEX(#REF!,A593))&gt;0)),$B$173,""),""),"")</f>
        <v/>
      </c>
      <c r="G593" s="113" t="e">
        <f>IF(AND(Tabel33[[#This Row],[Instruction]]="",Tabel33[[#This Row],[Country not specified]]=""),IF(AND(INDEX(#REF!,A593)&lt;&gt;"",INDEX(#REF!,A593)&lt;=0),IF(INDEX(salaries_academic[],MATCH(INDEX(#REF!,A593),salaries_academic[category],0),3)="",$B$172,""),""),"")</f>
        <v>#REF!</v>
      </c>
      <c r="H593" s="113" t="str">
        <f>IFERROR(IF(AND(INDEX(salaries_academic[],MATCH(INDEX(#REF!,A593),salaries_academic[category],0),3)&gt;0,INDEX(#REF!,A593)&gt;0),$B$174,""),"")</f>
        <v/>
      </c>
      <c r="I593" s="113" t="str">
        <f>IFERROR(IF(AND(organisation_type="yes",VALUE(INDEX(#REF!,A593))&gt;0,ISBLANK(INDEX(#REF!,A593))),$B$175,""),"")</f>
        <v/>
      </c>
      <c r="J593" s="113" t="str">
        <f>IFERROR(IF(AND(organisation_name="yes",VALUE(INDEX(#REF!,A593))&gt;0,ISBLANK(INDEX(#REF!,A593)),Tabel33[[#This Row],[organisation type]]=""),$B$176,""),"")</f>
        <v/>
      </c>
    </row>
    <row r="594" spans="1:10" outlineLevel="1" x14ac:dyDescent="0.35">
      <c r="A594" s="217">
        <v>75</v>
      </c>
      <c r="B594" s="217" t="str">
        <f t="array" ref="B594">IFERROR(INDEX(Tabel33[[#This Row],[Empty line]:[organisation name]],1,MATCH(TRUE,LEN(Tabel33[[#This Row],[Empty line]:[organisation name]])&gt;0,0)),"")</f>
        <v/>
      </c>
      <c r="C594" s="113" t="str">
        <f>IFERROR(IF(AND(LEN(INDEX(#REF!,$A594))+LEN(INDEX(#REF!,$A594))+LEN(INDEX(#REF!,$A594))+LEN(INDEX(#REF!,$A594))&gt;0,LEN(INDEX(#REF!,$A594-1))+LEN(INDEX(#REF!,$A594-1))+LEN(INDEX(#REF!,$A594-1))+LEN(INDEX(#REF!,$A594-1))=0),$B$127,""),"")</f>
        <v/>
      </c>
      <c r="D594" s="113" t="str">
        <f>IFERROR(IF(AND(INDEX(#REF!="",$A594),OR(INDEX(#REF!,$A594)&gt;0,INDEX(#REF!,$A594)&gt;0,INDEX(#REF!,$A594)&gt;0,LEN(INDEX(#REF!,$A594))&gt;0)),$B$171,""),"")</f>
        <v/>
      </c>
      <c r="E594" s="113" t="e">
        <f>IF(AND(INDEX(#REF!,A594)&lt;&gt;"",OR(INDEX(#REF!,A594)&lt;=0,INDEX(#REF!,A594)&lt;=0)),INDEX(salaries_academic[],MATCH(INDEX(#REF!,A594),salaries_academic[category],0),2),"")</f>
        <v>#REF!</v>
      </c>
      <c r="F594" s="113" t="str">
        <f>IFERROR(IF(Tabel33[[#This Row],[Instruction]]="",IF(AND(INDEX(#REF!="",A594),OR(INDEX(#REF!,A594)&lt;&gt;"",INDEX(#REF!,A594)&gt;0,INDEX(#REF!,A594)&gt;0,INDEX(#REF!,A594)&gt;0,LEN(INDEX(#REF!,A594))&gt;0)),$B$173,""),""),"")</f>
        <v/>
      </c>
      <c r="G594" s="113" t="e">
        <f>IF(AND(Tabel33[[#This Row],[Instruction]]="",Tabel33[[#This Row],[Country not specified]]=""),IF(AND(INDEX(#REF!,A594)&lt;&gt;"",INDEX(#REF!,A594)&lt;=0),IF(INDEX(salaries_academic[],MATCH(INDEX(#REF!,A594),salaries_academic[category],0),3)="",$B$172,""),""),"")</f>
        <v>#REF!</v>
      </c>
      <c r="H594" s="113" t="str">
        <f>IFERROR(IF(AND(INDEX(salaries_academic[],MATCH(INDEX(#REF!,A594),salaries_academic[category],0),3)&gt;0,INDEX(#REF!,A594)&gt;0),$B$174,""),"")</f>
        <v/>
      </c>
      <c r="I594" s="113" t="str">
        <f>IFERROR(IF(AND(organisation_type="yes",VALUE(INDEX(#REF!,A594))&gt;0,ISBLANK(INDEX(#REF!,A594))),$B$175,""),"")</f>
        <v/>
      </c>
      <c r="J594" s="113" t="str">
        <f>IFERROR(IF(AND(organisation_name="yes",VALUE(INDEX(#REF!,A594))&gt;0,ISBLANK(INDEX(#REF!,A594)),Tabel33[[#This Row],[organisation type]]=""),$B$176,""),"")</f>
        <v/>
      </c>
    </row>
    <row r="595" spans="1:10" outlineLevel="1" x14ac:dyDescent="0.35">
      <c r="A595" s="217">
        <v>76</v>
      </c>
      <c r="B595" s="217" t="str">
        <f t="array" ref="B595">IFERROR(INDEX(Tabel33[[#This Row],[Empty line]:[organisation name]],1,MATCH(TRUE,LEN(Tabel33[[#This Row],[Empty line]:[organisation name]])&gt;0,0)),"")</f>
        <v/>
      </c>
      <c r="C595" s="113" t="str">
        <f>IFERROR(IF(AND(LEN(INDEX(#REF!,$A595))+LEN(INDEX(#REF!,$A595))+LEN(INDEX(#REF!,$A595))+LEN(INDEX(#REF!,$A595))&gt;0,LEN(INDEX(#REF!,$A595-1))+LEN(INDEX(#REF!,$A595-1))+LEN(INDEX(#REF!,$A595-1))+LEN(INDEX(#REF!,$A595-1))=0),$B$127,""),"")</f>
        <v/>
      </c>
      <c r="D595" s="113" t="str">
        <f>IFERROR(IF(AND(INDEX(#REF!="",$A595),OR(INDEX(#REF!,$A595)&gt;0,INDEX(#REF!,$A595)&gt;0,INDEX(#REF!,$A595)&gt;0,LEN(INDEX(#REF!,$A595))&gt;0)),$B$171,""),"")</f>
        <v/>
      </c>
      <c r="E595" s="113" t="e">
        <f>IF(AND(INDEX(#REF!,A595)&lt;&gt;"",OR(INDEX(#REF!,A595)&lt;=0,INDEX(#REF!,A595)&lt;=0)),INDEX(salaries_academic[],MATCH(INDEX(#REF!,A595),salaries_academic[category],0),2),"")</f>
        <v>#REF!</v>
      </c>
      <c r="F595" s="113" t="str">
        <f>IFERROR(IF(Tabel33[[#This Row],[Instruction]]="",IF(AND(INDEX(#REF!="",A595),OR(INDEX(#REF!,A595)&lt;&gt;"",INDEX(#REF!,A595)&gt;0,INDEX(#REF!,A595)&gt;0,INDEX(#REF!,A595)&gt;0,LEN(INDEX(#REF!,A595))&gt;0)),$B$173,""),""),"")</f>
        <v/>
      </c>
      <c r="G595" s="113" t="e">
        <f>IF(AND(Tabel33[[#This Row],[Instruction]]="",Tabel33[[#This Row],[Country not specified]]=""),IF(AND(INDEX(#REF!,A595)&lt;&gt;"",INDEX(#REF!,A595)&lt;=0),IF(INDEX(salaries_academic[],MATCH(INDEX(#REF!,A595),salaries_academic[category],0),3)="",$B$172,""),""),"")</f>
        <v>#REF!</v>
      </c>
      <c r="H595" s="113" t="str">
        <f>IFERROR(IF(AND(INDEX(salaries_academic[],MATCH(INDEX(#REF!,A595),salaries_academic[category],0),3)&gt;0,INDEX(#REF!,A595)&gt;0),$B$174,""),"")</f>
        <v/>
      </c>
      <c r="I595" s="113" t="str">
        <f>IFERROR(IF(AND(organisation_type="yes",VALUE(INDEX(#REF!,A595))&gt;0,ISBLANK(INDEX(#REF!,A595))),$B$175,""),"")</f>
        <v/>
      </c>
      <c r="J595" s="113" t="str">
        <f>IFERROR(IF(AND(organisation_name="yes",VALUE(INDEX(#REF!,A595))&gt;0,ISBLANK(INDEX(#REF!,A595)),Tabel33[[#This Row],[organisation type]]=""),$B$176,""),"")</f>
        <v/>
      </c>
    </row>
    <row r="596" spans="1:10" outlineLevel="1" x14ac:dyDescent="0.35">
      <c r="A596" s="217">
        <v>77</v>
      </c>
      <c r="B596" s="217" t="str">
        <f t="array" ref="B596">IFERROR(INDEX(Tabel33[[#This Row],[Empty line]:[organisation name]],1,MATCH(TRUE,LEN(Tabel33[[#This Row],[Empty line]:[organisation name]])&gt;0,0)),"")</f>
        <v/>
      </c>
      <c r="C596" s="113" t="str">
        <f>IFERROR(IF(AND(LEN(INDEX(#REF!,$A596))+LEN(INDEX(#REF!,$A596))+LEN(INDEX(#REF!,$A596))+LEN(INDEX(#REF!,$A596))&gt;0,LEN(INDEX(#REF!,$A596-1))+LEN(INDEX(#REF!,$A596-1))+LEN(INDEX(#REF!,$A596-1))+LEN(INDEX(#REF!,$A596-1))=0),$B$127,""),"")</f>
        <v/>
      </c>
      <c r="D596" s="113" t="str">
        <f>IFERROR(IF(AND(INDEX(#REF!="",$A596),OR(INDEX(#REF!,$A596)&gt;0,INDEX(#REF!,$A596)&gt;0,INDEX(#REF!,$A596)&gt;0,LEN(INDEX(#REF!,$A596))&gt;0)),$B$171,""),"")</f>
        <v/>
      </c>
      <c r="E596" s="113" t="e">
        <f>IF(AND(INDEX(#REF!,A596)&lt;&gt;"",OR(INDEX(#REF!,A596)&lt;=0,INDEX(#REF!,A596)&lt;=0)),INDEX(salaries_academic[],MATCH(INDEX(#REF!,A596),salaries_academic[category],0),2),"")</f>
        <v>#REF!</v>
      </c>
      <c r="F596" s="113" t="str">
        <f>IFERROR(IF(Tabel33[[#This Row],[Instruction]]="",IF(AND(INDEX(#REF!="",A596),OR(INDEX(#REF!,A596)&lt;&gt;"",INDEX(#REF!,A596)&gt;0,INDEX(#REF!,A596)&gt;0,INDEX(#REF!,A596)&gt;0,LEN(INDEX(#REF!,A596))&gt;0)),$B$173,""),""),"")</f>
        <v/>
      </c>
      <c r="G596" s="113" t="e">
        <f>IF(AND(Tabel33[[#This Row],[Instruction]]="",Tabel33[[#This Row],[Country not specified]]=""),IF(AND(INDEX(#REF!,A596)&lt;&gt;"",INDEX(#REF!,A596)&lt;=0),IF(INDEX(salaries_academic[],MATCH(INDEX(#REF!,A596),salaries_academic[category],0),3)="",$B$172,""),""),"")</f>
        <v>#REF!</v>
      </c>
      <c r="H596" s="113" t="str">
        <f>IFERROR(IF(AND(INDEX(salaries_academic[],MATCH(INDEX(#REF!,A596),salaries_academic[category],0),3)&gt;0,INDEX(#REF!,A596)&gt;0),$B$174,""),"")</f>
        <v/>
      </c>
      <c r="I596" s="113" t="str">
        <f>IFERROR(IF(AND(organisation_type="yes",VALUE(INDEX(#REF!,A596))&gt;0,ISBLANK(INDEX(#REF!,A596))),$B$175,""),"")</f>
        <v/>
      </c>
      <c r="J596" s="113" t="str">
        <f>IFERROR(IF(AND(organisation_name="yes",VALUE(INDEX(#REF!,A596))&gt;0,ISBLANK(INDEX(#REF!,A596)),Tabel33[[#This Row],[organisation type]]=""),$B$176,""),"")</f>
        <v/>
      </c>
    </row>
    <row r="597" spans="1:10" outlineLevel="1" x14ac:dyDescent="0.35">
      <c r="A597" s="217">
        <v>78</v>
      </c>
      <c r="B597" s="217" t="str">
        <f t="array" ref="B597">IFERROR(INDEX(Tabel33[[#This Row],[Empty line]:[organisation name]],1,MATCH(TRUE,LEN(Tabel33[[#This Row],[Empty line]:[organisation name]])&gt;0,0)),"")</f>
        <v/>
      </c>
      <c r="C597" s="113" t="str">
        <f>IFERROR(IF(AND(LEN(INDEX(#REF!,$A597))+LEN(INDEX(#REF!,$A597))+LEN(INDEX(#REF!,$A597))+LEN(INDEX(#REF!,$A597))&gt;0,LEN(INDEX(#REF!,$A597-1))+LEN(INDEX(#REF!,$A597-1))+LEN(INDEX(#REF!,$A597-1))+LEN(INDEX(#REF!,$A597-1))=0),$B$127,""),"")</f>
        <v/>
      </c>
      <c r="D597" s="113" t="str">
        <f>IFERROR(IF(AND(INDEX(#REF!="",$A597),OR(INDEX(#REF!,$A597)&gt;0,INDEX(#REF!,$A597)&gt;0,INDEX(#REF!,$A597)&gt;0,LEN(INDEX(#REF!,$A597))&gt;0)),$B$171,""),"")</f>
        <v/>
      </c>
      <c r="E597" s="113" t="e">
        <f>IF(AND(INDEX(#REF!,A597)&lt;&gt;"",OR(INDEX(#REF!,A597)&lt;=0,INDEX(#REF!,A597)&lt;=0)),INDEX(salaries_academic[],MATCH(INDEX(#REF!,A597),salaries_academic[category],0),2),"")</f>
        <v>#REF!</v>
      </c>
      <c r="F597" s="113" t="str">
        <f>IFERROR(IF(Tabel33[[#This Row],[Instruction]]="",IF(AND(INDEX(#REF!="",A597),OR(INDEX(#REF!,A597)&lt;&gt;"",INDEX(#REF!,A597)&gt;0,INDEX(#REF!,A597)&gt;0,INDEX(#REF!,A597)&gt;0,LEN(INDEX(#REF!,A597))&gt;0)),$B$173,""),""),"")</f>
        <v/>
      </c>
      <c r="G597" s="113" t="e">
        <f>IF(AND(Tabel33[[#This Row],[Instruction]]="",Tabel33[[#This Row],[Country not specified]]=""),IF(AND(INDEX(#REF!,A597)&lt;&gt;"",INDEX(#REF!,A597)&lt;=0),IF(INDEX(salaries_academic[],MATCH(INDEX(#REF!,A597),salaries_academic[category],0),3)="",$B$172,""),""),"")</f>
        <v>#REF!</v>
      </c>
      <c r="H597" s="113" t="str">
        <f>IFERROR(IF(AND(INDEX(salaries_academic[],MATCH(INDEX(#REF!,A597),salaries_academic[category],0),3)&gt;0,INDEX(#REF!,A597)&gt;0),$B$174,""),"")</f>
        <v/>
      </c>
      <c r="I597" s="113" t="str">
        <f>IFERROR(IF(AND(organisation_type="yes",VALUE(INDEX(#REF!,A597))&gt;0,ISBLANK(INDEX(#REF!,A597))),$B$175,""),"")</f>
        <v/>
      </c>
      <c r="J597" s="113" t="str">
        <f>IFERROR(IF(AND(organisation_name="yes",VALUE(INDEX(#REF!,A597))&gt;0,ISBLANK(INDEX(#REF!,A597)),Tabel33[[#This Row],[organisation type]]=""),$B$176,""),"")</f>
        <v/>
      </c>
    </row>
    <row r="598" spans="1:10" outlineLevel="1" x14ac:dyDescent="0.35">
      <c r="A598" s="217">
        <v>79</v>
      </c>
      <c r="B598" s="217" t="str">
        <f t="array" ref="B598">IFERROR(INDEX(Tabel33[[#This Row],[Empty line]:[organisation name]],1,MATCH(TRUE,LEN(Tabel33[[#This Row],[Empty line]:[organisation name]])&gt;0,0)),"")</f>
        <v/>
      </c>
      <c r="C598" s="113" t="str">
        <f>IFERROR(IF(AND(LEN(INDEX(#REF!,$A598))+LEN(INDEX(#REF!,$A598))+LEN(INDEX(#REF!,$A598))+LEN(INDEX(#REF!,$A598))&gt;0,LEN(INDEX(#REF!,$A598-1))+LEN(INDEX(#REF!,$A598-1))+LEN(INDEX(#REF!,$A598-1))+LEN(INDEX(#REF!,$A598-1))=0),$B$127,""),"")</f>
        <v/>
      </c>
      <c r="D598" s="113" t="str">
        <f>IFERROR(IF(AND(INDEX(#REF!="",$A598),OR(INDEX(#REF!,$A598)&gt;0,INDEX(#REF!,$A598)&gt;0,INDEX(#REF!,$A598)&gt;0,LEN(INDEX(#REF!,$A598))&gt;0)),$B$171,""),"")</f>
        <v/>
      </c>
      <c r="E598" s="113" t="e">
        <f>IF(AND(INDEX(#REF!,A598)&lt;&gt;"",OR(INDEX(#REF!,A598)&lt;=0,INDEX(#REF!,A598)&lt;=0)),INDEX(salaries_academic[],MATCH(INDEX(#REF!,A598),salaries_academic[category],0),2),"")</f>
        <v>#REF!</v>
      </c>
      <c r="F598" s="113" t="str">
        <f>IFERROR(IF(Tabel33[[#This Row],[Instruction]]="",IF(AND(INDEX(#REF!="",A598),OR(INDEX(#REF!,A598)&lt;&gt;"",INDEX(#REF!,A598)&gt;0,INDEX(#REF!,A598)&gt;0,INDEX(#REF!,A598)&gt;0,LEN(INDEX(#REF!,A598))&gt;0)),$B$173,""),""),"")</f>
        <v/>
      </c>
      <c r="G598" s="113" t="e">
        <f>IF(AND(Tabel33[[#This Row],[Instruction]]="",Tabel33[[#This Row],[Country not specified]]=""),IF(AND(INDEX(#REF!,A598)&lt;&gt;"",INDEX(#REF!,A598)&lt;=0),IF(INDEX(salaries_academic[],MATCH(INDEX(#REF!,A598),salaries_academic[category],0),3)="",$B$172,""),""),"")</f>
        <v>#REF!</v>
      </c>
      <c r="H598" s="113" t="str">
        <f>IFERROR(IF(AND(INDEX(salaries_academic[],MATCH(INDEX(#REF!,A598),salaries_academic[category],0),3)&gt;0,INDEX(#REF!,A598)&gt;0),$B$174,""),"")</f>
        <v/>
      </c>
      <c r="I598" s="113" t="str">
        <f>IFERROR(IF(AND(organisation_type="yes",VALUE(INDEX(#REF!,A598))&gt;0,ISBLANK(INDEX(#REF!,A598))),$B$175,""),"")</f>
        <v/>
      </c>
      <c r="J598" s="113" t="str">
        <f>IFERROR(IF(AND(organisation_name="yes",VALUE(INDEX(#REF!,A598))&gt;0,ISBLANK(INDEX(#REF!,A598)),Tabel33[[#This Row],[organisation type]]=""),$B$176,""),"")</f>
        <v/>
      </c>
    </row>
    <row r="599" spans="1:10" outlineLevel="1" x14ac:dyDescent="0.35">
      <c r="A599" s="217">
        <v>80</v>
      </c>
      <c r="B599" s="217" t="str">
        <f t="array" ref="B599">IFERROR(INDEX(Tabel33[[#This Row],[Empty line]:[organisation name]],1,MATCH(TRUE,LEN(Tabel33[[#This Row],[Empty line]:[organisation name]])&gt;0,0)),"")</f>
        <v/>
      </c>
      <c r="C599" s="113" t="str">
        <f>IFERROR(IF(AND(LEN(INDEX(#REF!,$A599))+LEN(INDEX(#REF!,$A599))+LEN(INDEX(#REF!,$A599))+LEN(INDEX(#REF!,$A599))&gt;0,LEN(INDEX(#REF!,$A599-1))+LEN(INDEX(#REF!,$A599-1))+LEN(INDEX(#REF!,$A599-1))+LEN(INDEX(#REF!,$A599-1))=0),$B$127,""),"")</f>
        <v/>
      </c>
      <c r="D599" s="113" t="str">
        <f>IFERROR(IF(AND(INDEX(#REF!="",$A599),OR(INDEX(#REF!,$A599)&gt;0,INDEX(#REF!,$A599)&gt;0,INDEX(#REF!,$A599)&gt;0,LEN(INDEX(#REF!,$A599))&gt;0)),$B$171,""),"")</f>
        <v/>
      </c>
      <c r="E599" s="113" t="e">
        <f>IF(AND(INDEX(#REF!,A599)&lt;&gt;"",OR(INDEX(#REF!,A599)&lt;=0,INDEX(#REF!,A599)&lt;=0)),INDEX(salaries_academic[],MATCH(INDEX(#REF!,A599),salaries_academic[category],0),2),"")</f>
        <v>#REF!</v>
      </c>
      <c r="F599" s="113" t="str">
        <f>IFERROR(IF(Tabel33[[#This Row],[Instruction]]="",IF(AND(INDEX(#REF!="",A599),OR(INDEX(#REF!,A599)&lt;&gt;"",INDEX(#REF!,A599)&gt;0,INDEX(#REF!,A599)&gt;0,INDEX(#REF!,A599)&gt;0,LEN(INDEX(#REF!,A599))&gt;0)),$B$173,""),""),"")</f>
        <v/>
      </c>
      <c r="G599" s="113" t="e">
        <f>IF(AND(Tabel33[[#This Row],[Instruction]]="",Tabel33[[#This Row],[Country not specified]]=""),IF(AND(INDEX(#REF!,A599)&lt;&gt;"",INDEX(#REF!,A599)&lt;=0),IF(INDEX(salaries_academic[],MATCH(INDEX(#REF!,A599),salaries_academic[category],0),3)="",$B$172,""),""),"")</f>
        <v>#REF!</v>
      </c>
      <c r="H599" s="113" t="str">
        <f>IFERROR(IF(AND(INDEX(salaries_academic[],MATCH(INDEX(#REF!,A599),salaries_academic[category],0),3)&gt;0,INDEX(#REF!,A599)&gt;0),$B$174,""),"")</f>
        <v/>
      </c>
      <c r="I599" s="113" t="str">
        <f>IFERROR(IF(AND(organisation_type="yes",VALUE(INDEX(#REF!,A599))&gt;0,ISBLANK(INDEX(#REF!,A599))),$B$175,""),"")</f>
        <v/>
      </c>
      <c r="J599" s="113" t="str">
        <f>IFERROR(IF(AND(organisation_name="yes",VALUE(INDEX(#REF!,A599))&gt;0,ISBLANK(INDEX(#REF!,A599)),Tabel33[[#This Row],[organisation type]]=""),$B$176,""),"")</f>
        <v/>
      </c>
    </row>
    <row r="600" spans="1:10" outlineLevel="1" x14ac:dyDescent="0.35">
      <c r="A600" s="217">
        <v>81</v>
      </c>
      <c r="B600" s="217" t="str">
        <f t="array" ref="B600">IFERROR(INDEX(Tabel33[[#This Row],[Empty line]:[organisation name]],1,MATCH(TRUE,LEN(Tabel33[[#This Row],[Empty line]:[organisation name]])&gt;0,0)),"")</f>
        <v/>
      </c>
      <c r="C600" s="113" t="str">
        <f>IFERROR(IF(AND(LEN(INDEX(#REF!,$A600))+LEN(INDEX(#REF!,$A600))+LEN(INDEX(#REF!,$A600))+LEN(INDEX(#REF!,$A600))&gt;0,LEN(INDEX(#REF!,$A600-1))+LEN(INDEX(#REF!,$A600-1))+LEN(INDEX(#REF!,$A600-1))+LEN(INDEX(#REF!,$A600-1))=0),$B$127,""),"")</f>
        <v/>
      </c>
      <c r="D600" s="113" t="str">
        <f>IFERROR(IF(AND(INDEX(#REF!="",$A600),OR(INDEX(#REF!,$A600)&gt;0,INDEX(#REF!,$A600)&gt;0,INDEX(#REF!,$A600)&gt;0,LEN(INDEX(#REF!,$A600))&gt;0)),$B$171,""),"")</f>
        <v/>
      </c>
      <c r="E600" s="113" t="e">
        <f>IF(AND(INDEX(#REF!,A600)&lt;&gt;"",OR(INDEX(#REF!,A600)&lt;=0,INDEX(#REF!,A600)&lt;=0)),INDEX(salaries_academic[],MATCH(INDEX(#REF!,A600),salaries_academic[category],0),2),"")</f>
        <v>#REF!</v>
      </c>
      <c r="F600" s="113" t="str">
        <f>IFERROR(IF(Tabel33[[#This Row],[Instruction]]="",IF(AND(INDEX(#REF!="",A600),OR(INDEX(#REF!,A600)&lt;&gt;"",INDEX(#REF!,A600)&gt;0,INDEX(#REF!,A600)&gt;0,INDEX(#REF!,A600)&gt;0,LEN(INDEX(#REF!,A600))&gt;0)),$B$173,""),""),"")</f>
        <v/>
      </c>
      <c r="G600" s="113" t="e">
        <f>IF(AND(Tabel33[[#This Row],[Instruction]]="",Tabel33[[#This Row],[Country not specified]]=""),IF(AND(INDEX(#REF!,A600)&lt;&gt;"",INDEX(#REF!,A600)&lt;=0),IF(INDEX(salaries_academic[],MATCH(INDEX(#REF!,A600),salaries_academic[category],0),3)="",$B$172,""),""),"")</f>
        <v>#REF!</v>
      </c>
      <c r="H600" s="113" t="str">
        <f>IFERROR(IF(AND(INDEX(salaries_academic[],MATCH(INDEX(#REF!,A600),salaries_academic[category],0),3)&gt;0,INDEX(#REF!,A600)&gt;0),$B$174,""),"")</f>
        <v/>
      </c>
      <c r="I600" s="113" t="str">
        <f>IFERROR(IF(AND(organisation_type="yes",VALUE(INDEX(#REF!,A600))&gt;0,ISBLANK(INDEX(#REF!,A600))),$B$175,""),"")</f>
        <v/>
      </c>
      <c r="J600" s="113" t="str">
        <f>IFERROR(IF(AND(organisation_name="yes",VALUE(INDEX(#REF!,A600))&gt;0,ISBLANK(INDEX(#REF!,A600)),Tabel33[[#This Row],[organisation type]]=""),$B$176,""),"")</f>
        <v/>
      </c>
    </row>
    <row r="601" spans="1:10" outlineLevel="1" x14ac:dyDescent="0.35">
      <c r="A601" s="217">
        <v>82</v>
      </c>
      <c r="B601" s="217" t="str">
        <f t="array" ref="B601">IFERROR(INDEX(Tabel33[[#This Row],[Empty line]:[organisation name]],1,MATCH(TRUE,LEN(Tabel33[[#This Row],[Empty line]:[organisation name]])&gt;0,0)),"")</f>
        <v/>
      </c>
      <c r="C601" s="113" t="str">
        <f>IFERROR(IF(AND(LEN(INDEX(#REF!,$A601))+LEN(INDEX(#REF!,$A601))+LEN(INDEX(#REF!,$A601))+LEN(INDEX(#REF!,$A601))&gt;0,LEN(INDEX(#REF!,$A601-1))+LEN(INDEX(#REF!,$A601-1))+LEN(INDEX(#REF!,$A601-1))+LEN(INDEX(#REF!,$A601-1))=0),$B$127,""),"")</f>
        <v/>
      </c>
      <c r="D601" s="113" t="str">
        <f>IFERROR(IF(AND(INDEX(#REF!="",$A601),OR(INDEX(#REF!,$A601)&gt;0,INDEX(#REF!,$A601)&gt;0,INDEX(#REF!,$A601)&gt;0,LEN(INDEX(#REF!,$A601))&gt;0)),$B$171,""),"")</f>
        <v/>
      </c>
      <c r="E601" s="113" t="e">
        <f>IF(AND(INDEX(#REF!,A601)&lt;&gt;"",OR(INDEX(#REF!,A601)&lt;=0,INDEX(#REF!,A601)&lt;=0)),INDEX(salaries_academic[],MATCH(INDEX(#REF!,A601),salaries_academic[category],0),2),"")</f>
        <v>#REF!</v>
      </c>
      <c r="F601" s="113" t="str">
        <f>IFERROR(IF(Tabel33[[#This Row],[Instruction]]="",IF(AND(INDEX(#REF!="",A601),OR(INDEX(#REF!,A601)&lt;&gt;"",INDEX(#REF!,A601)&gt;0,INDEX(#REF!,A601)&gt;0,INDEX(#REF!,A601)&gt;0,LEN(INDEX(#REF!,A601))&gt;0)),$B$173,""),""),"")</f>
        <v/>
      </c>
      <c r="G601" s="113" t="e">
        <f>IF(AND(Tabel33[[#This Row],[Instruction]]="",Tabel33[[#This Row],[Country not specified]]=""),IF(AND(INDEX(#REF!,A601)&lt;&gt;"",INDEX(#REF!,A601)&lt;=0),IF(INDEX(salaries_academic[],MATCH(INDEX(#REF!,A601),salaries_academic[category],0),3)="",$B$172,""),""),"")</f>
        <v>#REF!</v>
      </c>
      <c r="H601" s="113" t="str">
        <f>IFERROR(IF(AND(INDEX(salaries_academic[],MATCH(INDEX(#REF!,A601),salaries_academic[category],0),3)&gt;0,INDEX(#REF!,A601)&gt;0),$B$174,""),"")</f>
        <v/>
      </c>
      <c r="I601" s="113" t="str">
        <f>IFERROR(IF(AND(organisation_type="yes",VALUE(INDEX(#REF!,A601))&gt;0,ISBLANK(INDEX(#REF!,A601))),$B$175,""),"")</f>
        <v/>
      </c>
      <c r="J601" s="113" t="str">
        <f>IFERROR(IF(AND(organisation_name="yes",VALUE(INDEX(#REF!,A601))&gt;0,ISBLANK(INDEX(#REF!,A601)),Tabel33[[#This Row],[organisation type]]=""),$B$176,""),"")</f>
        <v/>
      </c>
    </row>
    <row r="602" spans="1:10" outlineLevel="1" x14ac:dyDescent="0.35">
      <c r="A602" s="217">
        <v>83</v>
      </c>
      <c r="B602" s="217" t="str">
        <f t="array" ref="B602">IFERROR(INDEX(Tabel33[[#This Row],[Empty line]:[organisation name]],1,MATCH(TRUE,LEN(Tabel33[[#This Row],[Empty line]:[organisation name]])&gt;0,0)),"")</f>
        <v/>
      </c>
      <c r="C602" s="113" t="str">
        <f>IFERROR(IF(AND(LEN(INDEX(#REF!,$A602))+LEN(INDEX(#REF!,$A602))+LEN(INDEX(#REF!,$A602))+LEN(INDEX(#REF!,$A602))&gt;0,LEN(INDEX(#REF!,$A602-1))+LEN(INDEX(#REF!,$A602-1))+LEN(INDEX(#REF!,$A602-1))+LEN(INDEX(#REF!,$A602-1))=0),$B$127,""),"")</f>
        <v/>
      </c>
      <c r="D602" s="113" t="str">
        <f>IFERROR(IF(AND(INDEX(#REF!="",$A602),OR(INDEX(#REF!,$A602)&gt;0,INDEX(#REF!,$A602)&gt;0,INDEX(#REF!,$A602)&gt;0,LEN(INDEX(#REF!,$A602))&gt;0)),$B$171,""),"")</f>
        <v/>
      </c>
      <c r="E602" s="113" t="e">
        <f>IF(AND(INDEX(#REF!,A602)&lt;&gt;"",OR(INDEX(#REF!,A602)&lt;=0,INDEX(#REF!,A602)&lt;=0)),INDEX(salaries_academic[],MATCH(INDEX(#REF!,A602),salaries_academic[category],0),2),"")</f>
        <v>#REF!</v>
      </c>
      <c r="F602" s="113" t="str">
        <f>IFERROR(IF(Tabel33[[#This Row],[Instruction]]="",IF(AND(INDEX(#REF!="",A602),OR(INDEX(#REF!,A602)&lt;&gt;"",INDEX(#REF!,A602)&gt;0,INDEX(#REF!,A602)&gt;0,INDEX(#REF!,A602)&gt;0,LEN(INDEX(#REF!,A602))&gt;0)),$B$173,""),""),"")</f>
        <v/>
      </c>
      <c r="G602" s="113" t="e">
        <f>IF(AND(Tabel33[[#This Row],[Instruction]]="",Tabel33[[#This Row],[Country not specified]]=""),IF(AND(INDEX(#REF!,A602)&lt;&gt;"",INDEX(#REF!,A602)&lt;=0),IF(INDEX(salaries_academic[],MATCH(INDEX(#REF!,A602),salaries_academic[category],0),3)="",$B$172,""),""),"")</f>
        <v>#REF!</v>
      </c>
      <c r="H602" s="113" t="str">
        <f>IFERROR(IF(AND(INDEX(salaries_academic[],MATCH(INDEX(#REF!,A602),salaries_academic[category],0),3)&gt;0,INDEX(#REF!,A602)&gt;0),$B$174,""),"")</f>
        <v/>
      </c>
      <c r="I602" s="113" t="str">
        <f>IFERROR(IF(AND(organisation_type="yes",VALUE(INDEX(#REF!,A602))&gt;0,ISBLANK(INDEX(#REF!,A602))),$B$175,""),"")</f>
        <v/>
      </c>
      <c r="J602" s="113" t="str">
        <f>IFERROR(IF(AND(organisation_name="yes",VALUE(INDEX(#REF!,A602))&gt;0,ISBLANK(INDEX(#REF!,A602)),Tabel33[[#This Row],[organisation type]]=""),$B$176,""),"")</f>
        <v/>
      </c>
    </row>
    <row r="603" spans="1:10" outlineLevel="1" x14ac:dyDescent="0.35">
      <c r="A603" s="217">
        <v>84</v>
      </c>
      <c r="B603" s="217" t="str">
        <f t="array" ref="B603">IFERROR(INDEX(Tabel33[[#This Row],[Empty line]:[organisation name]],1,MATCH(TRUE,LEN(Tabel33[[#This Row],[Empty line]:[organisation name]])&gt;0,0)),"")</f>
        <v/>
      </c>
      <c r="C603" s="113" t="str">
        <f>IFERROR(IF(AND(LEN(INDEX(#REF!,$A603))+LEN(INDEX(#REF!,$A603))+LEN(INDEX(#REF!,$A603))+LEN(INDEX(#REF!,$A603))&gt;0,LEN(INDEX(#REF!,$A603-1))+LEN(INDEX(#REF!,$A603-1))+LEN(INDEX(#REF!,$A603-1))+LEN(INDEX(#REF!,$A603-1))=0),$B$127,""),"")</f>
        <v/>
      </c>
      <c r="D603" s="113" t="str">
        <f>IFERROR(IF(AND(INDEX(#REF!="",$A603),OR(INDEX(#REF!,$A603)&gt;0,INDEX(#REF!,$A603)&gt;0,INDEX(#REF!,$A603)&gt;0,LEN(INDEX(#REF!,$A603))&gt;0)),$B$171,""),"")</f>
        <v/>
      </c>
      <c r="E603" s="113" t="e">
        <f>IF(AND(INDEX(#REF!,A603)&lt;&gt;"",OR(INDEX(#REF!,A603)&lt;=0,INDEX(#REF!,A603)&lt;=0)),INDEX(salaries_academic[],MATCH(INDEX(#REF!,A603),salaries_academic[category],0),2),"")</f>
        <v>#REF!</v>
      </c>
      <c r="F603" s="113" t="str">
        <f>IFERROR(IF(Tabel33[[#This Row],[Instruction]]="",IF(AND(INDEX(#REF!="",A603),OR(INDEX(#REF!,A603)&lt;&gt;"",INDEX(#REF!,A603)&gt;0,INDEX(#REF!,A603)&gt;0,INDEX(#REF!,A603)&gt;0,LEN(INDEX(#REF!,A603))&gt;0)),$B$173,""),""),"")</f>
        <v/>
      </c>
      <c r="G603" s="113" t="e">
        <f>IF(AND(Tabel33[[#This Row],[Instruction]]="",Tabel33[[#This Row],[Country not specified]]=""),IF(AND(INDEX(#REF!,A603)&lt;&gt;"",INDEX(#REF!,A603)&lt;=0),IF(INDEX(salaries_academic[],MATCH(INDEX(#REF!,A603),salaries_academic[category],0),3)="",$B$172,""),""),"")</f>
        <v>#REF!</v>
      </c>
      <c r="H603" s="113" t="str">
        <f>IFERROR(IF(AND(INDEX(salaries_academic[],MATCH(INDEX(#REF!,A603),salaries_academic[category],0),3)&gt;0,INDEX(#REF!,A603)&gt;0),$B$174,""),"")</f>
        <v/>
      </c>
      <c r="I603" s="113" t="str">
        <f>IFERROR(IF(AND(organisation_type="yes",VALUE(INDEX(#REF!,A603))&gt;0,ISBLANK(INDEX(#REF!,A603))),$B$175,""),"")</f>
        <v/>
      </c>
      <c r="J603" s="113" t="str">
        <f>IFERROR(IF(AND(organisation_name="yes",VALUE(INDEX(#REF!,A603))&gt;0,ISBLANK(INDEX(#REF!,A603)),Tabel33[[#This Row],[organisation type]]=""),$B$176,""),"")</f>
        <v/>
      </c>
    </row>
    <row r="604" spans="1:10" outlineLevel="1" x14ac:dyDescent="0.35">
      <c r="A604" s="217">
        <v>85</v>
      </c>
      <c r="B604" s="217" t="str">
        <f t="array" ref="B604">IFERROR(INDEX(Tabel33[[#This Row],[Empty line]:[organisation name]],1,MATCH(TRUE,LEN(Tabel33[[#This Row],[Empty line]:[organisation name]])&gt;0,0)),"")</f>
        <v/>
      </c>
      <c r="C604" s="113" t="str">
        <f>IFERROR(IF(AND(LEN(INDEX(#REF!,$A604))+LEN(INDEX(#REF!,$A604))+LEN(INDEX(#REF!,$A604))+LEN(INDEX(#REF!,$A604))&gt;0,LEN(INDEX(#REF!,$A604-1))+LEN(INDEX(#REF!,$A604-1))+LEN(INDEX(#REF!,$A604-1))+LEN(INDEX(#REF!,$A604-1))=0),$B$127,""),"")</f>
        <v/>
      </c>
      <c r="D604" s="113" t="str">
        <f>IFERROR(IF(AND(INDEX(#REF!="",$A604),OR(INDEX(#REF!,$A604)&gt;0,INDEX(#REF!,$A604)&gt;0,INDEX(#REF!,$A604)&gt;0,LEN(INDEX(#REF!,$A604))&gt;0)),$B$171,""),"")</f>
        <v/>
      </c>
      <c r="E604" s="113" t="e">
        <f>IF(AND(INDEX(#REF!,A604)&lt;&gt;"",OR(INDEX(#REF!,A604)&lt;=0,INDEX(#REF!,A604)&lt;=0)),INDEX(salaries_academic[],MATCH(INDEX(#REF!,A604),salaries_academic[category],0),2),"")</f>
        <v>#REF!</v>
      </c>
      <c r="F604" s="113" t="str">
        <f>IFERROR(IF(Tabel33[[#This Row],[Instruction]]="",IF(AND(INDEX(#REF!="",A604),OR(INDEX(#REF!,A604)&lt;&gt;"",INDEX(#REF!,A604)&gt;0,INDEX(#REF!,A604)&gt;0,INDEX(#REF!,A604)&gt;0,LEN(INDEX(#REF!,A604))&gt;0)),$B$173,""),""),"")</f>
        <v/>
      </c>
      <c r="G604" s="113" t="e">
        <f>IF(AND(Tabel33[[#This Row],[Instruction]]="",Tabel33[[#This Row],[Country not specified]]=""),IF(AND(INDEX(#REF!,A604)&lt;&gt;"",INDEX(#REF!,A604)&lt;=0),IF(INDEX(salaries_academic[],MATCH(INDEX(#REF!,A604),salaries_academic[category],0),3)="",$B$172,""),""),"")</f>
        <v>#REF!</v>
      </c>
      <c r="H604" s="113" t="str">
        <f>IFERROR(IF(AND(INDEX(salaries_academic[],MATCH(INDEX(#REF!,A604),salaries_academic[category],0),3)&gt;0,INDEX(#REF!,A604)&gt;0),$B$174,""),"")</f>
        <v/>
      </c>
      <c r="I604" s="113" t="str">
        <f>IFERROR(IF(AND(organisation_type="yes",VALUE(INDEX(#REF!,A604))&gt;0,ISBLANK(INDEX(#REF!,A604))),$B$175,""),"")</f>
        <v/>
      </c>
      <c r="J604" s="113" t="str">
        <f>IFERROR(IF(AND(organisation_name="yes",VALUE(INDEX(#REF!,A604))&gt;0,ISBLANK(INDEX(#REF!,A604)),Tabel33[[#This Row],[organisation type]]=""),$B$176,""),"")</f>
        <v/>
      </c>
    </row>
    <row r="605" spans="1:10" outlineLevel="1" x14ac:dyDescent="0.35">
      <c r="A605" s="217">
        <v>86</v>
      </c>
      <c r="B605" s="217" t="str">
        <f t="array" ref="B605">IFERROR(INDEX(Tabel33[[#This Row],[Empty line]:[organisation name]],1,MATCH(TRUE,LEN(Tabel33[[#This Row],[Empty line]:[organisation name]])&gt;0,0)),"")</f>
        <v/>
      </c>
      <c r="C605" s="113" t="str">
        <f>IFERROR(IF(AND(LEN(INDEX(#REF!,$A605))+LEN(INDEX(#REF!,$A605))+LEN(INDEX(#REF!,$A605))+LEN(INDEX(#REF!,$A605))&gt;0,LEN(INDEX(#REF!,$A605-1))+LEN(INDEX(#REF!,$A605-1))+LEN(INDEX(#REF!,$A605-1))+LEN(INDEX(#REF!,$A605-1))=0),$B$127,""),"")</f>
        <v/>
      </c>
      <c r="D605" s="113" t="str">
        <f>IFERROR(IF(AND(INDEX(#REF!="",$A605),OR(INDEX(#REF!,$A605)&gt;0,INDEX(#REF!,$A605)&gt;0,INDEX(#REF!,$A605)&gt;0,LEN(INDEX(#REF!,$A605))&gt;0)),$B$171,""),"")</f>
        <v/>
      </c>
      <c r="E605" s="113" t="e">
        <f>IF(AND(INDEX(#REF!,A605)&lt;&gt;"",OR(INDEX(#REF!,A605)&lt;=0,INDEX(#REF!,A605)&lt;=0)),INDEX(salaries_academic[],MATCH(INDEX(#REF!,A605),salaries_academic[category],0),2),"")</f>
        <v>#REF!</v>
      </c>
      <c r="F605" s="113" t="str">
        <f>IFERROR(IF(Tabel33[[#This Row],[Instruction]]="",IF(AND(INDEX(#REF!="",A605),OR(INDEX(#REF!,A605)&lt;&gt;"",INDEX(#REF!,A605)&gt;0,INDEX(#REF!,A605)&gt;0,INDEX(#REF!,A605)&gt;0,LEN(INDEX(#REF!,A605))&gt;0)),$B$173,""),""),"")</f>
        <v/>
      </c>
      <c r="G605" s="113" t="e">
        <f>IF(AND(Tabel33[[#This Row],[Instruction]]="",Tabel33[[#This Row],[Country not specified]]=""),IF(AND(INDEX(#REF!,A605)&lt;&gt;"",INDEX(#REF!,A605)&lt;=0),IF(INDEX(salaries_academic[],MATCH(INDEX(#REF!,A605),salaries_academic[category],0),3)="",$B$172,""),""),"")</f>
        <v>#REF!</v>
      </c>
      <c r="H605" s="113" t="str">
        <f>IFERROR(IF(AND(INDEX(salaries_academic[],MATCH(INDEX(#REF!,A605),salaries_academic[category],0),3)&gt;0,INDEX(#REF!,A605)&gt;0),$B$174,""),"")</f>
        <v/>
      </c>
      <c r="I605" s="113" t="str">
        <f>IFERROR(IF(AND(organisation_type="yes",VALUE(INDEX(#REF!,A605))&gt;0,ISBLANK(INDEX(#REF!,A605))),$B$175,""),"")</f>
        <v/>
      </c>
      <c r="J605" s="113" t="str">
        <f>IFERROR(IF(AND(organisation_name="yes",VALUE(INDEX(#REF!,A605))&gt;0,ISBLANK(INDEX(#REF!,A605)),Tabel33[[#This Row],[organisation type]]=""),$B$176,""),"")</f>
        <v/>
      </c>
    </row>
    <row r="606" spans="1:10" outlineLevel="1" x14ac:dyDescent="0.35">
      <c r="A606" s="217">
        <v>87</v>
      </c>
      <c r="B606" s="217" t="str">
        <f t="array" ref="B606">IFERROR(INDEX(Tabel33[[#This Row],[Empty line]:[organisation name]],1,MATCH(TRUE,LEN(Tabel33[[#This Row],[Empty line]:[organisation name]])&gt;0,0)),"")</f>
        <v/>
      </c>
      <c r="C606" s="113" t="str">
        <f>IFERROR(IF(AND(LEN(INDEX(#REF!,$A606))+LEN(INDEX(#REF!,$A606))+LEN(INDEX(#REF!,$A606))+LEN(INDEX(#REF!,$A606))&gt;0,LEN(INDEX(#REF!,$A606-1))+LEN(INDEX(#REF!,$A606-1))+LEN(INDEX(#REF!,$A606-1))+LEN(INDEX(#REF!,$A606-1))=0),$B$127,""),"")</f>
        <v/>
      </c>
      <c r="D606" s="113" t="str">
        <f>IFERROR(IF(AND(INDEX(#REF!="",$A606),OR(INDEX(#REF!,$A606)&gt;0,INDEX(#REF!,$A606)&gt;0,INDEX(#REF!,$A606)&gt;0,LEN(INDEX(#REF!,$A606))&gt;0)),$B$171,""),"")</f>
        <v/>
      </c>
      <c r="E606" s="113" t="e">
        <f>IF(AND(INDEX(#REF!,A606)&lt;&gt;"",OR(INDEX(#REF!,A606)&lt;=0,INDEX(#REF!,A606)&lt;=0)),INDEX(salaries_academic[],MATCH(INDEX(#REF!,A606),salaries_academic[category],0),2),"")</f>
        <v>#REF!</v>
      </c>
      <c r="F606" s="113" t="str">
        <f>IFERROR(IF(Tabel33[[#This Row],[Instruction]]="",IF(AND(INDEX(#REF!="",A606),OR(INDEX(#REF!,A606)&lt;&gt;"",INDEX(#REF!,A606)&gt;0,INDEX(#REF!,A606)&gt;0,INDEX(#REF!,A606)&gt;0,LEN(INDEX(#REF!,A606))&gt;0)),$B$173,""),""),"")</f>
        <v/>
      </c>
      <c r="G606" s="113" t="e">
        <f>IF(AND(Tabel33[[#This Row],[Instruction]]="",Tabel33[[#This Row],[Country not specified]]=""),IF(AND(INDEX(#REF!,A606)&lt;&gt;"",INDEX(#REF!,A606)&lt;=0),IF(INDEX(salaries_academic[],MATCH(INDEX(#REF!,A606),salaries_academic[category],0),3)="",$B$172,""),""),"")</f>
        <v>#REF!</v>
      </c>
      <c r="H606" s="113" t="str">
        <f>IFERROR(IF(AND(INDEX(salaries_academic[],MATCH(INDEX(#REF!,A606),salaries_academic[category],0),3)&gt;0,INDEX(#REF!,A606)&gt;0),$B$174,""),"")</f>
        <v/>
      </c>
      <c r="I606" s="113" t="str">
        <f>IFERROR(IF(AND(organisation_type="yes",VALUE(INDEX(#REF!,A606))&gt;0,ISBLANK(INDEX(#REF!,A606))),$B$175,""),"")</f>
        <v/>
      </c>
      <c r="J606" s="113" t="str">
        <f>IFERROR(IF(AND(organisation_name="yes",VALUE(INDEX(#REF!,A606))&gt;0,ISBLANK(INDEX(#REF!,A606)),Tabel33[[#This Row],[organisation type]]=""),$B$176,""),"")</f>
        <v/>
      </c>
    </row>
    <row r="607" spans="1:10" outlineLevel="1" x14ac:dyDescent="0.35">
      <c r="A607" s="217">
        <v>88</v>
      </c>
      <c r="B607" s="217" t="str">
        <f t="array" ref="B607">IFERROR(INDEX(Tabel33[[#This Row],[Empty line]:[organisation name]],1,MATCH(TRUE,LEN(Tabel33[[#This Row],[Empty line]:[organisation name]])&gt;0,0)),"")</f>
        <v/>
      </c>
      <c r="C607" s="113" t="str">
        <f>IFERROR(IF(AND(LEN(INDEX(#REF!,$A607))+LEN(INDEX(#REF!,$A607))+LEN(INDEX(#REF!,$A607))+LEN(INDEX(#REF!,$A607))&gt;0,LEN(INDEX(#REF!,$A607-1))+LEN(INDEX(#REF!,$A607-1))+LEN(INDEX(#REF!,$A607-1))+LEN(INDEX(#REF!,$A607-1))=0),$B$127,""),"")</f>
        <v/>
      </c>
      <c r="D607" s="113" t="str">
        <f>IFERROR(IF(AND(INDEX(#REF!="",$A607),OR(INDEX(#REF!,$A607)&gt;0,INDEX(#REF!,$A607)&gt;0,INDEX(#REF!,$A607)&gt;0,LEN(INDEX(#REF!,$A607))&gt;0)),$B$171,""),"")</f>
        <v/>
      </c>
      <c r="E607" s="113" t="e">
        <f>IF(AND(INDEX(#REF!,A607)&lt;&gt;"",OR(INDEX(#REF!,A607)&lt;=0,INDEX(#REF!,A607)&lt;=0)),INDEX(salaries_academic[],MATCH(INDEX(#REF!,A607),salaries_academic[category],0),2),"")</f>
        <v>#REF!</v>
      </c>
      <c r="F607" s="113" t="str">
        <f>IFERROR(IF(Tabel33[[#This Row],[Instruction]]="",IF(AND(INDEX(#REF!="",A607),OR(INDEX(#REF!,A607)&lt;&gt;"",INDEX(#REF!,A607)&gt;0,INDEX(#REF!,A607)&gt;0,INDEX(#REF!,A607)&gt;0,LEN(INDEX(#REF!,A607))&gt;0)),$B$173,""),""),"")</f>
        <v/>
      </c>
      <c r="G607" s="113" t="e">
        <f>IF(AND(Tabel33[[#This Row],[Instruction]]="",Tabel33[[#This Row],[Country not specified]]=""),IF(AND(INDEX(#REF!,A607)&lt;&gt;"",INDEX(#REF!,A607)&lt;=0),IF(INDEX(salaries_academic[],MATCH(INDEX(#REF!,A607),salaries_academic[category],0),3)="",$B$172,""),""),"")</f>
        <v>#REF!</v>
      </c>
      <c r="H607" s="113" t="str">
        <f>IFERROR(IF(AND(INDEX(salaries_academic[],MATCH(INDEX(#REF!,A607),salaries_academic[category],0),3)&gt;0,INDEX(#REF!,A607)&gt;0),$B$174,""),"")</f>
        <v/>
      </c>
      <c r="I607" s="113" t="str">
        <f>IFERROR(IF(AND(organisation_type="yes",VALUE(INDEX(#REF!,A607))&gt;0,ISBLANK(INDEX(#REF!,A607))),$B$175,""),"")</f>
        <v/>
      </c>
      <c r="J607" s="113" t="str">
        <f>IFERROR(IF(AND(organisation_name="yes",VALUE(INDEX(#REF!,A607))&gt;0,ISBLANK(INDEX(#REF!,A607)),Tabel33[[#This Row],[organisation type]]=""),$B$176,""),"")</f>
        <v/>
      </c>
    </row>
    <row r="608" spans="1:10" outlineLevel="1" x14ac:dyDescent="0.35">
      <c r="A608" s="217">
        <v>89</v>
      </c>
      <c r="B608" s="217" t="str">
        <f t="array" ref="B608">IFERROR(INDEX(Tabel33[[#This Row],[Empty line]:[organisation name]],1,MATCH(TRUE,LEN(Tabel33[[#This Row],[Empty line]:[organisation name]])&gt;0,0)),"")</f>
        <v/>
      </c>
      <c r="C608" s="113" t="str">
        <f>IFERROR(IF(AND(LEN(INDEX(#REF!,$A608))+LEN(INDEX(#REF!,$A608))+LEN(INDEX(#REF!,$A608))+LEN(INDEX(#REF!,$A608))&gt;0,LEN(INDEX(#REF!,$A608-1))+LEN(INDEX(#REF!,$A608-1))+LEN(INDEX(#REF!,$A608-1))+LEN(INDEX(#REF!,$A608-1))=0),$B$127,""),"")</f>
        <v/>
      </c>
      <c r="D608" s="113" t="str">
        <f>IFERROR(IF(AND(INDEX(#REF!="",$A608),OR(INDEX(#REF!,$A608)&gt;0,INDEX(#REF!,$A608)&gt;0,INDEX(#REF!,$A608)&gt;0,LEN(INDEX(#REF!,$A608))&gt;0)),$B$171,""),"")</f>
        <v/>
      </c>
      <c r="E608" s="113" t="e">
        <f>IF(AND(INDEX(#REF!,A608)&lt;&gt;"",OR(INDEX(#REF!,A608)&lt;=0,INDEX(#REF!,A608)&lt;=0)),INDEX(salaries_academic[],MATCH(INDEX(#REF!,A608),salaries_academic[category],0),2),"")</f>
        <v>#REF!</v>
      </c>
      <c r="F608" s="113" t="str">
        <f>IFERROR(IF(Tabel33[[#This Row],[Instruction]]="",IF(AND(INDEX(#REF!="",A608),OR(INDEX(#REF!,A608)&lt;&gt;"",INDEX(#REF!,A608)&gt;0,INDEX(#REF!,A608)&gt;0,INDEX(#REF!,A608)&gt;0,LEN(INDEX(#REF!,A608))&gt;0)),$B$173,""),""),"")</f>
        <v/>
      </c>
      <c r="G608" s="113" t="e">
        <f>IF(AND(Tabel33[[#This Row],[Instruction]]="",Tabel33[[#This Row],[Country not specified]]=""),IF(AND(INDEX(#REF!,A608)&lt;&gt;"",INDEX(#REF!,A608)&lt;=0),IF(INDEX(salaries_academic[],MATCH(INDEX(#REF!,A608),salaries_academic[category],0),3)="",$B$172,""),""),"")</f>
        <v>#REF!</v>
      </c>
      <c r="H608" s="113" t="str">
        <f>IFERROR(IF(AND(INDEX(salaries_academic[],MATCH(INDEX(#REF!,A608),salaries_academic[category],0),3)&gt;0,INDEX(#REF!,A608)&gt;0),$B$174,""),"")</f>
        <v/>
      </c>
      <c r="I608" s="113" t="str">
        <f>IFERROR(IF(AND(organisation_type="yes",VALUE(INDEX(#REF!,A608))&gt;0,ISBLANK(INDEX(#REF!,A608))),$B$175,""),"")</f>
        <v/>
      </c>
      <c r="J608" s="113" t="str">
        <f>IFERROR(IF(AND(organisation_name="yes",VALUE(INDEX(#REF!,A608))&gt;0,ISBLANK(INDEX(#REF!,A608)),Tabel33[[#This Row],[organisation type]]=""),$B$176,""),"")</f>
        <v/>
      </c>
    </row>
    <row r="609" spans="1:10" outlineLevel="1" x14ac:dyDescent="0.35">
      <c r="A609" s="217">
        <v>90</v>
      </c>
      <c r="B609" s="217" t="str">
        <f t="array" ref="B609">IFERROR(INDEX(Tabel33[[#This Row],[Empty line]:[organisation name]],1,MATCH(TRUE,LEN(Tabel33[[#This Row],[Empty line]:[organisation name]])&gt;0,0)),"")</f>
        <v/>
      </c>
      <c r="C609" s="113" t="str">
        <f>IFERROR(IF(AND(LEN(INDEX(#REF!,$A609))+LEN(INDEX(#REF!,$A609))+LEN(INDEX(#REF!,$A609))+LEN(INDEX(#REF!,$A609))&gt;0,LEN(INDEX(#REF!,$A609-1))+LEN(INDEX(#REF!,$A609-1))+LEN(INDEX(#REF!,$A609-1))+LEN(INDEX(#REF!,$A609-1))=0),$B$127,""),"")</f>
        <v/>
      </c>
      <c r="D609" s="113" t="str">
        <f>IFERROR(IF(AND(INDEX(#REF!="",$A609),OR(INDEX(#REF!,$A609)&gt;0,INDEX(#REF!,$A609)&gt;0,INDEX(#REF!,$A609)&gt;0,LEN(INDEX(#REF!,$A609))&gt;0)),$B$171,""),"")</f>
        <v/>
      </c>
      <c r="E609" s="113" t="e">
        <f>IF(AND(INDEX(#REF!,A609)&lt;&gt;"",OR(INDEX(#REF!,A609)&lt;=0,INDEX(#REF!,A609)&lt;=0)),INDEX(salaries_academic[],MATCH(INDEX(#REF!,A609),salaries_academic[category],0),2),"")</f>
        <v>#REF!</v>
      </c>
      <c r="F609" s="113" t="str">
        <f>IFERROR(IF(Tabel33[[#This Row],[Instruction]]="",IF(AND(INDEX(#REF!="",A609),OR(INDEX(#REF!,A609)&lt;&gt;"",INDEX(#REF!,A609)&gt;0,INDEX(#REF!,A609)&gt;0,INDEX(#REF!,A609)&gt;0,LEN(INDEX(#REF!,A609))&gt;0)),$B$173,""),""),"")</f>
        <v/>
      </c>
      <c r="G609" s="113" t="e">
        <f>IF(AND(Tabel33[[#This Row],[Instruction]]="",Tabel33[[#This Row],[Country not specified]]=""),IF(AND(INDEX(#REF!,A609)&lt;&gt;"",INDEX(#REF!,A609)&lt;=0),IF(INDEX(salaries_academic[],MATCH(INDEX(#REF!,A609),salaries_academic[category],0),3)="",$B$172,""),""),"")</f>
        <v>#REF!</v>
      </c>
      <c r="H609" s="113" t="str">
        <f>IFERROR(IF(AND(INDEX(salaries_academic[],MATCH(INDEX(#REF!,A609),salaries_academic[category],0),3)&gt;0,INDEX(#REF!,A609)&gt;0),$B$174,""),"")</f>
        <v/>
      </c>
      <c r="I609" s="113" t="str">
        <f>IFERROR(IF(AND(organisation_type="yes",VALUE(INDEX(#REF!,A609))&gt;0,ISBLANK(INDEX(#REF!,A609))),$B$175,""),"")</f>
        <v/>
      </c>
      <c r="J609" s="113" t="str">
        <f>IFERROR(IF(AND(organisation_name="yes",VALUE(INDEX(#REF!,A609))&gt;0,ISBLANK(INDEX(#REF!,A609)),Tabel33[[#This Row],[organisation type]]=""),$B$176,""),"")</f>
        <v/>
      </c>
    </row>
    <row r="610" spans="1:10" outlineLevel="1" x14ac:dyDescent="0.35">
      <c r="A610" s="217">
        <v>91</v>
      </c>
      <c r="B610" s="217" t="str">
        <f t="array" ref="B610">IFERROR(INDEX(Tabel33[[#This Row],[Empty line]:[organisation name]],1,MATCH(TRUE,LEN(Tabel33[[#This Row],[Empty line]:[organisation name]])&gt;0,0)),"")</f>
        <v/>
      </c>
      <c r="C610" s="113" t="str">
        <f>IFERROR(IF(AND(LEN(INDEX(#REF!,$A610))+LEN(INDEX(#REF!,$A610))+LEN(INDEX(#REF!,$A610))+LEN(INDEX(#REF!,$A610))&gt;0,LEN(INDEX(#REF!,$A610-1))+LEN(INDEX(#REF!,$A610-1))+LEN(INDEX(#REF!,$A610-1))+LEN(INDEX(#REF!,$A610-1))=0),$B$127,""),"")</f>
        <v/>
      </c>
      <c r="D610" s="113" t="str">
        <f>IFERROR(IF(AND(INDEX(#REF!="",$A610),OR(INDEX(#REF!,$A610)&gt;0,INDEX(#REF!,$A610)&gt;0,INDEX(#REF!,$A610)&gt;0,LEN(INDEX(#REF!,$A610))&gt;0)),$B$171,""),"")</f>
        <v/>
      </c>
      <c r="E610" s="113" t="e">
        <f>IF(AND(INDEX(#REF!,A610)&lt;&gt;"",OR(INDEX(#REF!,A610)&lt;=0,INDEX(#REF!,A610)&lt;=0)),INDEX(salaries_academic[],MATCH(INDEX(#REF!,A610),salaries_academic[category],0),2),"")</f>
        <v>#REF!</v>
      </c>
      <c r="F610" s="113" t="str">
        <f>IFERROR(IF(Tabel33[[#This Row],[Instruction]]="",IF(AND(INDEX(#REF!="",A610),OR(INDEX(#REF!,A610)&lt;&gt;"",INDEX(#REF!,A610)&gt;0,INDEX(#REF!,A610)&gt;0,INDEX(#REF!,A610)&gt;0,LEN(INDEX(#REF!,A610))&gt;0)),$B$173,""),""),"")</f>
        <v/>
      </c>
      <c r="G610" s="113" t="e">
        <f>IF(AND(Tabel33[[#This Row],[Instruction]]="",Tabel33[[#This Row],[Country not specified]]=""),IF(AND(INDEX(#REF!,A610)&lt;&gt;"",INDEX(#REF!,A610)&lt;=0),IF(INDEX(salaries_academic[],MATCH(INDEX(#REF!,A610),salaries_academic[category],0),3)="",$B$172,""),""),"")</f>
        <v>#REF!</v>
      </c>
      <c r="H610" s="113" t="str">
        <f>IFERROR(IF(AND(INDEX(salaries_academic[],MATCH(INDEX(#REF!,A610),salaries_academic[category],0),3)&gt;0,INDEX(#REF!,A610)&gt;0),$B$174,""),"")</f>
        <v/>
      </c>
      <c r="I610" s="113" t="str">
        <f>IFERROR(IF(AND(organisation_type="yes",VALUE(INDEX(#REF!,A610))&gt;0,ISBLANK(INDEX(#REF!,A610))),$B$175,""),"")</f>
        <v/>
      </c>
      <c r="J610" s="113" t="str">
        <f>IFERROR(IF(AND(organisation_name="yes",VALUE(INDEX(#REF!,A610))&gt;0,ISBLANK(INDEX(#REF!,A610)),Tabel33[[#This Row],[organisation type]]=""),$B$176,""),"")</f>
        <v/>
      </c>
    </row>
    <row r="611" spans="1:10" outlineLevel="1" x14ac:dyDescent="0.35">
      <c r="A611" s="217">
        <v>92</v>
      </c>
      <c r="B611" s="217" t="str">
        <f t="array" ref="B611">IFERROR(INDEX(Tabel33[[#This Row],[Empty line]:[organisation name]],1,MATCH(TRUE,LEN(Tabel33[[#This Row],[Empty line]:[organisation name]])&gt;0,0)),"")</f>
        <v/>
      </c>
      <c r="C611" s="113" t="str">
        <f>IFERROR(IF(AND(LEN(INDEX(#REF!,$A611))+LEN(INDEX(#REF!,$A611))+LEN(INDEX(#REF!,$A611))+LEN(INDEX(#REF!,$A611))&gt;0,LEN(INDEX(#REF!,$A611-1))+LEN(INDEX(#REF!,$A611-1))+LEN(INDEX(#REF!,$A611-1))+LEN(INDEX(#REF!,$A611-1))=0),$B$127,""),"")</f>
        <v/>
      </c>
      <c r="D611" s="113" t="str">
        <f>IFERROR(IF(AND(INDEX(#REF!="",$A611),OR(INDEX(#REF!,$A611)&gt;0,INDEX(#REF!,$A611)&gt;0,INDEX(#REF!,$A611)&gt;0,LEN(INDEX(#REF!,$A611))&gt;0)),$B$171,""),"")</f>
        <v/>
      </c>
      <c r="E611" s="113" t="e">
        <f>IF(AND(INDEX(#REF!,A611)&lt;&gt;"",OR(INDEX(#REF!,A611)&lt;=0,INDEX(#REF!,A611)&lt;=0)),INDEX(salaries_academic[],MATCH(INDEX(#REF!,A611),salaries_academic[category],0),2),"")</f>
        <v>#REF!</v>
      </c>
      <c r="F611" s="113" t="str">
        <f>IFERROR(IF(Tabel33[[#This Row],[Instruction]]="",IF(AND(INDEX(#REF!="",A611),OR(INDEX(#REF!,A611)&lt;&gt;"",INDEX(#REF!,A611)&gt;0,INDEX(#REF!,A611)&gt;0,INDEX(#REF!,A611)&gt;0,LEN(INDEX(#REF!,A611))&gt;0)),$B$173,""),""),"")</f>
        <v/>
      </c>
      <c r="G611" s="113" t="e">
        <f>IF(AND(Tabel33[[#This Row],[Instruction]]="",Tabel33[[#This Row],[Country not specified]]=""),IF(AND(INDEX(#REF!,A611)&lt;&gt;"",INDEX(#REF!,A611)&lt;=0),IF(INDEX(salaries_academic[],MATCH(INDEX(#REF!,A611),salaries_academic[category],0),3)="",$B$172,""),""),"")</f>
        <v>#REF!</v>
      </c>
      <c r="H611" s="113" t="str">
        <f>IFERROR(IF(AND(INDEX(salaries_academic[],MATCH(INDEX(#REF!,A611),salaries_academic[category],0),3)&gt;0,INDEX(#REF!,A611)&gt;0),$B$174,""),"")</f>
        <v/>
      </c>
      <c r="I611" s="113" t="str">
        <f>IFERROR(IF(AND(organisation_type="yes",VALUE(INDEX(#REF!,A611))&gt;0,ISBLANK(INDEX(#REF!,A611))),$B$175,""),"")</f>
        <v/>
      </c>
      <c r="J611" s="113" t="str">
        <f>IFERROR(IF(AND(organisation_name="yes",VALUE(INDEX(#REF!,A611))&gt;0,ISBLANK(INDEX(#REF!,A611)),Tabel33[[#This Row],[organisation type]]=""),$B$176,""),"")</f>
        <v/>
      </c>
    </row>
    <row r="612" spans="1:10" outlineLevel="1" x14ac:dyDescent="0.35">
      <c r="A612" s="217">
        <v>93</v>
      </c>
      <c r="B612" s="217" t="str">
        <f t="array" ref="B612">IFERROR(INDEX(Tabel33[[#This Row],[Empty line]:[organisation name]],1,MATCH(TRUE,LEN(Tabel33[[#This Row],[Empty line]:[organisation name]])&gt;0,0)),"")</f>
        <v/>
      </c>
      <c r="C612" s="113" t="str">
        <f>IFERROR(IF(AND(LEN(INDEX(#REF!,$A612))+LEN(INDEX(#REF!,$A612))+LEN(INDEX(#REF!,$A612))+LEN(INDEX(#REF!,$A612))&gt;0,LEN(INDEX(#REF!,$A612-1))+LEN(INDEX(#REF!,$A612-1))+LEN(INDEX(#REF!,$A612-1))+LEN(INDEX(#REF!,$A612-1))=0),$B$127,""),"")</f>
        <v/>
      </c>
      <c r="D612" s="113" t="str">
        <f>IFERROR(IF(AND(INDEX(#REF!="",$A612),OR(INDEX(#REF!,$A612)&gt;0,INDEX(#REF!,$A612)&gt;0,INDEX(#REF!,$A612)&gt;0,LEN(INDEX(#REF!,$A612))&gt;0)),$B$171,""),"")</f>
        <v/>
      </c>
      <c r="E612" s="113" t="e">
        <f>IF(AND(INDEX(#REF!,A612)&lt;&gt;"",OR(INDEX(#REF!,A612)&lt;=0,INDEX(#REF!,A612)&lt;=0)),INDEX(salaries_academic[],MATCH(INDEX(#REF!,A612),salaries_academic[category],0),2),"")</f>
        <v>#REF!</v>
      </c>
      <c r="F612" s="113" t="str">
        <f>IFERROR(IF(Tabel33[[#This Row],[Instruction]]="",IF(AND(INDEX(#REF!="",A612),OR(INDEX(#REF!,A612)&lt;&gt;"",INDEX(#REF!,A612)&gt;0,INDEX(#REF!,A612)&gt;0,INDEX(#REF!,A612)&gt;0,LEN(INDEX(#REF!,A612))&gt;0)),$B$173,""),""),"")</f>
        <v/>
      </c>
      <c r="G612" s="113" t="e">
        <f>IF(AND(Tabel33[[#This Row],[Instruction]]="",Tabel33[[#This Row],[Country not specified]]=""),IF(AND(INDEX(#REF!,A612)&lt;&gt;"",INDEX(#REF!,A612)&lt;=0),IF(INDEX(salaries_academic[],MATCH(INDEX(#REF!,A612),salaries_academic[category],0),3)="",$B$172,""),""),"")</f>
        <v>#REF!</v>
      </c>
      <c r="H612" s="113" t="str">
        <f>IFERROR(IF(AND(INDEX(salaries_academic[],MATCH(INDEX(#REF!,A612),salaries_academic[category],0),3)&gt;0,INDEX(#REF!,A612)&gt;0),$B$174,""),"")</f>
        <v/>
      </c>
      <c r="I612" s="113" t="str">
        <f>IFERROR(IF(AND(organisation_type="yes",VALUE(INDEX(#REF!,A612))&gt;0,ISBLANK(INDEX(#REF!,A612))),$B$175,""),"")</f>
        <v/>
      </c>
      <c r="J612" s="113" t="str">
        <f>IFERROR(IF(AND(organisation_name="yes",VALUE(INDEX(#REF!,A612))&gt;0,ISBLANK(INDEX(#REF!,A612)),Tabel33[[#This Row],[organisation type]]=""),$B$176,""),"")</f>
        <v/>
      </c>
    </row>
    <row r="613" spans="1:10" outlineLevel="1" x14ac:dyDescent="0.35">
      <c r="A613" s="217">
        <v>94</v>
      </c>
      <c r="B613" s="217" t="str">
        <f t="array" ref="B613">IFERROR(INDEX(Tabel33[[#This Row],[Empty line]:[organisation name]],1,MATCH(TRUE,LEN(Tabel33[[#This Row],[Empty line]:[organisation name]])&gt;0,0)),"")</f>
        <v/>
      </c>
      <c r="C613" s="113" t="str">
        <f>IFERROR(IF(AND(LEN(INDEX(#REF!,$A613))+LEN(INDEX(#REF!,$A613))+LEN(INDEX(#REF!,$A613))+LEN(INDEX(#REF!,$A613))&gt;0,LEN(INDEX(#REF!,$A613-1))+LEN(INDEX(#REF!,$A613-1))+LEN(INDEX(#REF!,$A613-1))+LEN(INDEX(#REF!,$A613-1))=0),$B$127,""),"")</f>
        <v/>
      </c>
      <c r="D613" s="113" t="str">
        <f>IFERROR(IF(AND(INDEX(#REF!="",$A613),OR(INDEX(#REF!,$A613)&gt;0,INDEX(#REF!,$A613)&gt;0,INDEX(#REF!,$A613)&gt;0,LEN(INDEX(#REF!,$A613))&gt;0)),$B$171,""),"")</f>
        <v/>
      </c>
      <c r="E613" s="113" t="e">
        <f>IF(AND(INDEX(#REF!,A613)&lt;&gt;"",OR(INDEX(#REF!,A613)&lt;=0,INDEX(#REF!,A613)&lt;=0)),INDEX(salaries_academic[],MATCH(INDEX(#REF!,A613),salaries_academic[category],0),2),"")</f>
        <v>#REF!</v>
      </c>
      <c r="F613" s="113" t="str">
        <f>IFERROR(IF(Tabel33[[#This Row],[Instruction]]="",IF(AND(INDEX(#REF!="",A613),OR(INDEX(#REF!,A613)&lt;&gt;"",INDEX(#REF!,A613)&gt;0,INDEX(#REF!,A613)&gt;0,INDEX(#REF!,A613)&gt;0,LEN(INDEX(#REF!,A613))&gt;0)),$B$173,""),""),"")</f>
        <v/>
      </c>
      <c r="G613" s="113" t="e">
        <f>IF(AND(Tabel33[[#This Row],[Instruction]]="",Tabel33[[#This Row],[Country not specified]]=""),IF(AND(INDEX(#REF!,A613)&lt;&gt;"",INDEX(#REF!,A613)&lt;=0),IF(INDEX(salaries_academic[],MATCH(INDEX(#REF!,A613),salaries_academic[category],0),3)="",$B$172,""),""),"")</f>
        <v>#REF!</v>
      </c>
      <c r="H613" s="113" t="str">
        <f>IFERROR(IF(AND(INDEX(salaries_academic[],MATCH(INDEX(#REF!,A613),salaries_academic[category],0),3)&gt;0,INDEX(#REF!,A613)&gt;0),$B$174,""),"")</f>
        <v/>
      </c>
      <c r="I613" s="113" t="str">
        <f>IFERROR(IF(AND(organisation_type="yes",VALUE(INDEX(#REF!,A613))&gt;0,ISBLANK(INDEX(#REF!,A613))),$B$175,""),"")</f>
        <v/>
      </c>
      <c r="J613" s="113" t="str">
        <f>IFERROR(IF(AND(organisation_name="yes",VALUE(INDEX(#REF!,A613))&gt;0,ISBLANK(INDEX(#REF!,A613)),Tabel33[[#This Row],[organisation type]]=""),$B$176,""),"")</f>
        <v/>
      </c>
    </row>
    <row r="614" spans="1:10" outlineLevel="1" x14ac:dyDescent="0.35">
      <c r="A614" s="217">
        <v>95</v>
      </c>
      <c r="B614" s="217" t="str">
        <f t="array" ref="B614">IFERROR(INDEX(Tabel33[[#This Row],[Empty line]:[organisation name]],1,MATCH(TRUE,LEN(Tabel33[[#This Row],[Empty line]:[organisation name]])&gt;0,0)),"")</f>
        <v/>
      </c>
      <c r="C614" s="113" t="str">
        <f>IFERROR(IF(AND(LEN(INDEX(#REF!,$A614))+LEN(INDEX(#REF!,$A614))+LEN(INDEX(#REF!,$A614))+LEN(INDEX(#REF!,$A614))&gt;0,LEN(INDEX(#REF!,$A614-1))+LEN(INDEX(#REF!,$A614-1))+LEN(INDEX(#REF!,$A614-1))+LEN(INDEX(#REF!,$A614-1))=0),$B$127,""),"")</f>
        <v/>
      </c>
      <c r="D614" s="113" t="str">
        <f>IFERROR(IF(AND(INDEX(#REF!="",$A614),OR(INDEX(#REF!,$A614)&gt;0,INDEX(#REF!,$A614)&gt;0,INDEX(#REF!,$A614)&gt;0,LEN(INDEX(#REF!,$A614))&gt;0)),$B$171,""),"")</f>
        <v/>
      </c>
      <c r="E614" s="113" t="e">
        <f>IF(AND(INDEX(#REF!,A614)&lt;&gt;"",OR(INDEX(#REF!,A614)&lt;=0,INDEX(#REF!,A614)&lt;=0)),INDEX(salaries_academic[],MATCH(INDEX(#REF!,A614),salaries_academic[category],0),2),"")</f>
        <v>#REF!</v>
      </c>
      <c r="F614" s="113" t="str">
        <f>IFERROR(IF(Tabel33[[#This Row],[Instruction]]="",IF(AND(INDEX(#REF!="",A614),OR(INDEX(#REF!,A614)&lt;&gt;"",INDEX(#REF!,A614)&gt;0,INDEX(#REF!,A614)&gt;0,INDEX(#REF!,A614)&gt;0,LEN(INDEX(#REF!,A614))&gt;0)),$B$173,""),""),"")</f>
        <v/>
      </c>
      <c r="G614" s="113" t="e">
        <f>IF(AND(Tabel33[[#This Row],[Instruction]]="",Tabel33[[#This Row],[Country not specified]]=""),IF(AND(INDEX(#REF!,A614)&lt;&gt;"",INDEX(#REF!,A614)&lt;=0),IF(INDEX(salaries_academic[],MATCH(INDEX(#REF!,A614),salaries_academic[category],0),3)="",$B$172,""),""),"")</f>
        <v>#REF!</v>
      </c>
      <c r="H614" s="113" t="str">
        <f>IFERROR(IF(AND(INDEX(salaries_academic[],MATCH(INDEX(#REF!,A614),salaries_academic[category],0),3)&gt;0,INDEX(#REF!,A614)&gt;0),$B$174,""),"")</f>
        <v/>
      </c>
      <c r="I614" s="113" t="str">
        <f>IFERROR(IF(AND(organisation_type="yes",VALUE(INDEX(#REF!,A614))&gt;0,ISBLANK(INDEX(#REF!,A614))),$B$175,""),"")</f>
        <v/>
      </c>
      <c r="J614" s="113" t="str">
        <f>IFERROR(IF(AND(organisation_name="yes",VALUE(INDEX(#REF!,A614))&gt;0,ISBLANK(INDEX(#REF!,A614)),Tabel33[[#This Row],[organisation type]]=""),$B$176,""),"")</f>
        <v/>
      </c>
    </row>
    <row r="615" spans="1:10" outlineLevel="1" x14ac:dyDescent="0.35">
      <c r="A615" s="217">
        <v>96</v>
      </c>
      <c r="B615" s="217" t="str">
        <f t="array" ref="B615">IFERROR(INDEX(Tabel33[[#This Row],[Empty line]:[organisation name]],1,MATCH(TRUE,LEN(Tabel33[[#This Row],[Empty line]:[organisation name]])&gt;0,0)),"")</f>
        <v/>
      </c>
      <c r="C615" s="113" t="str">
        <f>IFERROR(IF(AND(LEN(INDEX(#REF!,$A615))+LEN(INDEX(#REF!,$A615))+LEN(INDEX(#REF!,$A615))+LEN(INDEX(#REF!,$A615))&gt;0,LEN(INDEX(#REF!,$A615-1))+LEN(INDEX(#REF!,$A615-1))+LEN(INDEX(#REF!,$A615-1))+LEN(INDEX(#REF!,$A615-1))=0),$B$127,""),"")</f>
        <v/>
      </c>
      <c r="D615" s="113" t="str">
        <f>IFERROR(IF(AND(INDEX(#REF!="",$A615),OR(INDEX(#REF!,$A615)&gt;0,INDEX(#REF!,$A615)&gt;0,INDEX(#REF!,$A615)&gt;0,LEN(INDEX(#REF!,$A615))&gt;0)),$B$171,""),"")</f>
        <v/>
      </c>
      <c r="E615" s="113" t="e">
        <f>IF(AND(INDEX(#REF!,A615)&lt;&gt;"",OR(INDEX(#REF!,A615)&lt;=0,INDEX(#REF!,A615)&lt;=0)),INDEX(salaries_academic[],MATCH(INDEX(#REF!,A615),salaries_academic[category],0),2),"")</f>
        <v>#REF!</v>
      </c>
      <c r="F615" s="113" t="str">
        <f>IFERROR(IF(Tabel33[[#This Row],[Instruction]]="",IF(AND(INDEX(#REF!="",A615),OR(INDEX(#REF!,A615)&lt;&gt;"",INDEX(#REF!,A615)&gt;0,INDEX(#REF!,A615)&gt;0,INDEX(#REF!,A615)&gt;0,LEN(INDEX(#REF!,A615))&gt;0)),$B$173,""),""),"")</f>
        <v/>
      </c>
      <c r="G615" s="113" t="e">
        <f>IF(AND(Tabel33[[#This Row],[Instruction]]="",Tabel33[[#This Row],[Country not specified]]=""),IF(AND(INDEX(#REF!,A615)&lt;&gt;"",INDEX(#REF!,A615)&lt;=0),IF(INDEX(salaries_academic[],MATCH(INDEX(#REF!,A615),salaries_academic[category],0),3)="",$B$172,""),""),"")</f>
        <v>#REF!</v>
      </c>
      <c r="H615" s="113" t="str">
        <f>IFERROR(IF(AND(INDEX(salaries_academic[],MATCH(INDEX(#REF!,A615),salaries_academic[category],0),3)&gt;0,INDEX(#REF!,A615)&gt;0),$B$174,""),"")</f>
        <v/>
      </c>
      <c r="I615" s="113" t="str">
        <f>IFERROR(IF(AND(organisation_type="yes",VALUE(INDEX(#REF!,A615))&gt;0,ISBLANK(INDEX(#REF!,A615))),$B$175,""),"")</f>
        <v/>
      </c>
      <c r="J615" s="113" t="str">
        <f>IFERROR(IF(AND(organisation_name="yes",VALUE(INDEX(#REF!,A615))&gt;0,ISBLANK(INDEX(#REF!,A615)),Tabel33[[#This Row],[organisation type]]=""),$B$176,""),"")</f>
        <v/>
      </c>
    </row>
    <row r="616" spans="1:10" outlineLevel="1" x14ac:dyDescent="0.35">
      <c r="A616" s="217">
        <v>97</v>
      </c>
      <c r="B616" s="217" t="str">
        <f t="array" ref="B616">IFERROR(INDEX(Tabel33[[#This Row],[Empty line]:[organisation name]],1,MATCH(TRUE,LEN(Tabel33[[#This Row],[Empty line]:[organisation name]])&gt;0,0)),"")</f>
        <v/>
      </c>
      <c r="C616" s="113" t="str">
        <f>IFERROR(IF(AND(LEN(INDEX(#REF!,$A616))+LEN(INDEX(#REF!,$A616))+LEN(INDEX(#REF!,$A616))+LEN(INDEX(#REF!,$A616))&gt;0,LEN(INDEX(#REF!,$A616-1))+LEN(INDEX(#REF!,$A616-1))+LEN(INDEX(#REF!,$A616-1))+LEN(INDEX(#REF!,$A616-1))=0),$B$127,""),"")</f>
        <v/>
      </c>
      <c r="D616" s="113" t="str">
        <f>IFERROR(IF(AND(INDEX(#REF!="",$A616),OR(INDEX(#REF!,$A616)&gt;0,INDEX(#REF!,$A616)&gt;0,INDEX(#REF!,$A616)&gt;0,LEN(INDEX(#REF!,$A616))&gt;0)),$B$171,""),"")</f>
        <v/>
      </c>
      <c r="E616" s="113" t="e">
        <f>IF(AND(INDEX(#REF!,A616)&lt;&gt;"",OR(INDEX(#REF!,A616)&lt;=0,INDEX(#REF!,A616)&lt;=0)),INDEX(salaries_academic[],MATCH(INDEX(#REF!,A616),salaries_academic[category],0),2),"")</f>
        <v>#REF!</v>
      </c>
      <c r="F616" s="113" t="str">
        <f>IFERROR(IF(Tabel33[[#This Row],[Instruction]]="",IF(AND(INDEX(#REF!="",A616),OR(INDEX(#REF!,A616)&lt;&gt;"",INDEX(#REF!,A616)&gt;0,INDEX(#REF!,A616)&gt;0,INDEX(#REF!,A616)&gt;0,LEN(INDEX(#REF!,A616))&gt;0)),$B$173,""),""),"")</f>
        <v/>
      </c>
      <c r="G616" s="113" t="e">
        <f>IF(AND(Tabel33[[#This Row],[Instruction]]="",Tabel33[[#This Row],[Country not specified]]=""),IF(AND(INDEX(#REF!,A616)&lt;&gt;"",INDEX(#REF!,A616)&lt;=0),IF(INDEX(salaries_academic[],MATCH(INDEX(#REF!,A616),salaries_academic[category],0),3)="",$B$172,""),""),"")</f>
        <v>#REF!</v>
      </c>
      <c r="H616" s="113" t="str">
        <f>IFERROR(IF(AND(INDEX(salaries_academic[],MATCH(INDEX(#REF!,A616),salaries_academic[category],0),3)&gt;0,INDEX(#REF!,A616)&gt;0),$B$174,""),"")</f>
        <v/>
      </c>
      <c r="I616" s="113" t="str">
        <f>IFERROR(IF(AND(organisation_type="yes",VALUE(INDEX(#REF!,A616))&gt;0,ISBLANK(INDEX(#REF!,A616))),$B$175,""),"")</f>
        <v/>
      </c>
      <c r="J616" s="113" t="str">
        <f>IFERROR(IF(AND(organisation_name="yes",VALUE(INDEX(#REF!,A616))&gt;0,ISBLANK(INDEX(#REF!,A616)),Tabel33[[#This Row],[organisation type]]=""),$B$176,""),"")</f>
        <v/>
      </c>
    </row>
    <row r="617" spans="1:10" outlineLevel="1" x14ac:dyDescent="0.35">
      <c r="A617" s="217">
        <v>98</v>
      </c>
      <c r="B617" s="217" t="str">
        <f t="array" ref="B617">IFERROR(INDEX(Tabel33[[#This Row],[Empty line]:[organisation name]],1,MATCH(TRUE,LEN(Tabel33[[#This Row],[Empty line]:[organisation name]])&gt;0,0)),"")</f>
        <v/>
      </c>
      <c r="C617" s="113" t="str">
        <f>IFERROR(IF(AND(LEN(INDEX(#REF!,$A617))+LEN(INDEX(#REF!,$A617))+LEN(INDEX(#REF!,$A617))+LEN(INDEX(#REF!,$A617))&gt;0,LEN(INDEX(#REF!,$A617-1))+LEN(INDEX(#REF!,$A617-1))+LEN(INDEX(#REF!,$A617-1))+LEN(INDEX(#REF!,$A617-1))=0),$B$127,""),"")</f>
        <v/>
      </c>
      <c r="D617" s="113" t="str">
        <f>IFERROR(IF(AND(INDEX(#REF!="",$A617),OR(INDEX(#REF!,$A617)&gt;0,INDEX(#REF!,$A617)&gt;0,INDEX(#REF!,$A617)&gt;0,LEN(INDEX(#REF!,$A617))&gt;0)),$B$171,""),"")</f>
        <v/>
      </c>
      <c r="E617" s="113" t="e">
        <f>IF(AND(INDEX(#REF!,A617)&lt;&gt;"",OR(INDEX(#REF!,A617)&lt;=0,INDEX(#REF!,A617)&lt;=0)),INDEX(salaries_academic[],MATCH(INDEX(#REF!,A617),salaries_academic[category],0),2),"")</f>
        <v>#REF!</v>
      </c>
      <c r="F617" s="113" t="str">
        <f>IFERROR(IF(Tabel33[[#This Row],[Instruction]]="",IF(AND(INDEX(#REF!="",A617),OR(INDEX(#REF!,A617)&lt;&gt;"",INDEX(#REF!,A617)&gt;0,INDEX(#REF!,A617)&gt;0,INDEX(#REF!,A617)&gt;0,LEN(INDEX(#REF!,A617))&gt;0)),$B$173,""),""),"")</f>
        <v/>
      </c>
      <c r="G617" s="113" t="e">
        <f>IF(AND(Tabel33[[#This Row],[Instruction]]="",Tabel33[[#This Row],[Country not specified]]=""),IF(AND(INDEX(#REF!,A617)&lt;&gt;"",INDEX(#REF!,A617)&lt;=0),IF(INDEX(salaries_academic[],MATCH(INDEX(#REF!,A617),salaries_academic[category],0),3)="",$B$172,""),""),"")</f>
        <v>#REF!</v>
      </c>
      <c r="H617" s="113" t="str">
        <f>IFERROR(IF(AND(INDEX(salaries_academic[],MATCH(INDEX(#REF!,A617),salaries_academic[category],0),3)&gt;0,INDEX(#REF!,A617)&gt;0),$B$174,""),"")</f>
        <v/>
      </c>
      <c r="I617" s="113" t="str">
        <f>IFERROR(IF(AND(organisation_type="yes",VALUE(INDEX(#REF!,A617))&gt;0,ISBLANK(INDEX(#REF!,A617))),$B$175,""),"")</f>
        <v/>
      </c>
      <c r="J617" s="113" t="str">
        <f>IFERROR(IF(AND(organisation_name="yes",VALUE(INDEX(#REF!,A617))&gt;0,ISBLANK(INDEX(#REF!,A617)),Tabel33[[#This Row],[organisation type]]=""),$B$176,""),"")</f>
        <v/>
      </c>
    </row>
    <row r="618" spans="1:10" outlineLevel="1" x14ac:dyDescent="0.35">
      <c r="A618" s="217">
        <v>99</v>
      </c>
      <c r="B618" s="217" t="str">
        <f t="array" ref="B618">IFERROR(INDEX(Tabel33[[#This Row],[Empty line]:[organisation name]],1,MATCH(TRUE,LEN(Tabel33[[#This Row],[Empty line]:[organisation name]])&gt;0,0)),"")</f>
        <v/>
      </c>
      <c r="C618" s="113" t="str">
        <f>IFERROR(IF(AND(LEN(INDEX(#REF!,$A618))+LEN(INDEX(#REF!,$A618))+LEN(INDEX(#REF!,$A618))+LEN(INDEX(#REF!,$A618))&gt;0,LEN(INDEX(#REF!,$A618-1))+LEN(INDEX(#REF!,$A618-1))+LEN(INDEX(#REF!,$A618-1))+LEN(INDEX(#REF!,$A618-1))=0),$B$127,""),"")</f>
        <v/>
      </c>
      <c r="D618" s="113" t="str">
        <f>IFERROR(IF(AND(INDEX(#REF!="",$A618),OR(INDEX(#REF!,$A618)&gt;0,INDEX(#REF!,$A618)&gt;0,INDEX(#REF!,$A618)&gt;0,LEN(INDEX(#REF!,$A618))&gt;0)),$B$171,""),"")</f>
        <v/>
      </c>
      <c r="E618" s="113" t="e">
        <f>IF(AND(INDEX(#REF!,A618)&lt;&gt;"",OR(INDEX(#REF!,A618)&lt;=0,INDEX(#REF!,A618)&lt;=0)),INDEX(salaries_academic[],MATCH(INDEX(#REF!,A618),salaries_academic[category],0),2),"")</f>
        <v>#REF!</v>
      </c>
      <c r="F618" s="113" t="str">
        <f>IFERROR(IF(Tabel33[[#This Row],[Instruction]]="",IF(AND(INDEX(#REF!="",A618),OR(INDEX(#REF!,A618)&lt;&gt;"",INDEX(#REF!,A618)&gt;0,INDEX(#REF!,A618)&gt;0,INDEX(#REF!,A618)&gt;0,LEN(INDEX(#REF!,A618))&gt;0)),$B$173,""),""),"")</f>
        <v/>
      </c>
      <c r="G618" s="113" t="e">
        <f>IF(AND(Tabel33[[#This Row],[Instruction]]="",Tabel33[[#This Row],[Country not specified]]=""),IF(AND(INDEX(#REF!,A618)&lt;&gt;"",INDEX(#REF!,A618)&lt;=0),IF(INDEX(salaries_academic[],MATCH(INDEX(#REF!,A618),salaries_academic[category],0),3)="",$B$172,""),""),"")</f>
        <v>#REF!</v>
      </c>
      <c r="H618" s="113" t="str">
        <f>IFERROR(IF(AND(INDEX(salaries_academic[],MATCH(INDEX(#REF!,A618),salaries_academic[category],0),3)&gt;0,INDEX(#REF!,A618)&gt;0),$B$174,""),"")</f>
        <v/>
      </c>
      <c r="I618" s="113" t="str">
        <f>IFERROR(IF(AND(organisation_type="yes",VALUE(INDEX(#REF!,A618))&gt;0,ISBLANK(INDEX(#REF!,A618))),$B$175,""),"")</f>
        <v/>
      </c>
      <c r="J618" s="113" t="str">
        <f>IFERROR(IF(AND(organisation_name="yes",VALUE(INDEX(#REF!,A618))&gt;0,ISBLANK(INDEX(#REF!,A618)),Tabel33[[#This Row],[organisation type]]=""),$B$176,""),"")</f>
        <v/>
      </c>
    </row>
    <row r="619" spans="1:10" outlineLevel="1" x14ac:dyDescent="0.35">
      <c r="A619" s="217">
        <v>100</v>
      </c>
      <c r="B619" s="217" t="str">
        <f t="array" ref="B619">IFERROR(INDEX(Tabel33[[#This Row],[Empty line]:[organisation name]],1,MATCH(TRUE,LEN(Tabel33[[#This Row],[Empty line]:[organisation name]])&gt;0,0)),"")</f>
        <v/>
      </c>
      <c r="C619" s="113" t="str">
        <f>IFERROR(IF(AND(LEN(INDEX(#REF!,$A619))+LEN(INDEX(#REF!,$A619))+LEN(INDEX(#REF!,$A619))+LEN(INDEX(#REF!,$A619))&gt;0,LEN(INDEX(#REF!,$A619-1))+LEN(INDEX(#REF!,$A619-1))+LEN(INDEX(#REF!,$A619-1))+LEN(INDEX(#REF!,$A619-1))=0),$B$127,""),"")</f>
        <v/>
      </c>
      <c r="D619" s="113" t="str">
        <f>IFERROR(IF(AND(INDEX(#REF!="",$A619),OR(INDEX(#REF!,$A619)&gt;0,INDEX(#REF!,$A619)&gt;0,INDEX(#REF!,$A619)&gt;0,LEN(INDEX(#REF!,$A619))&gt;0)),$B$171,""),"")</f>
        <v/>
      </c>
      <c r="E619" s="113" t="e">
        <f>IF(AND(INDEX(#REF!,A619)&lt;&gt;"",OR(INDEX(#REF!,A619)&lt;=0,INDEX(#REF!,A619)&lt;=0)),INDEX(salaries_academic[],MATCH(INDEX(#REF!,A619),salaries_academic[category],0),2),"")</f>
        <v>#REF!</v>
      </c>
      <c r="F619" s="113" t="str">
        <f>IFERROR(IF(Tabel33[[#This Row],[Instruction]]="",IF(AND(INDEX(#REF!="",A619),OR(INDEX(#REF!,A619)&lt;&gt;"",INDEX(#REF!,A619)&gt;0,INDEX(#REF!,A619)&gt;0,INDEX(#REF!,A619)&gt;0,LEN(INDEX(#REF!,A619))&gt;0)),$B$173,""),""),"")</f>
        <v/>
      </c>
      <c r="G619" s="113" t="e">
        <f>IF(AND(Tabel33[[#This Row],[Instruction]]="",Tabel33[[#This Row],[Country not specified]]=""),IF(AND(INDEX(#REF!,A619)&lt;&gt;"",INDEX(#REF!,A619)&lt;=0),IF(INDEX(salaries_academic[],MATCH(INDEX(#REF!,A619),salaries_academic[category],0),3)="",$B$172,""),""),"")</f>
        <v>#REF!</v>
      </c>
      <c r="H619" s="113" t="str">
        <f>IFERROR(IF(AND(INDEX(salaries_academic[],MATCH(INDEX(#REF!,A619),salaries_academic[category],0),3)&gt;0,INDEX(#REF!,A619)&gt;0),$B$174,""),"")</f>
        <v/>
      </c>
      <c r="I619" s="113" t="str">
        <f>IFERROR(IF(AND(organisation_type="yes",VALUE(INDEX(#REF!,A619))&gt;0,ISBLANK(INDEX(#REF!,A619))),$B$175,""),"")</f>
        <v/>
      </c>
      <c r="J619" s="113" t="str">
        <f>IFERROR(IF(AND(organisation_name="yes",VALUE(INDEX(#REF!,A619))&gt;0,ISBLANK(INDEX(#REF!,A619)),Tabel33[[#This Row],[organisation type]]=""),$B$176,""),"")</f>
        <v/>
      </c>
    </row>
    <row r="621" spans="1:10" ht="18.5" x14ac:dyDescent="0.45">
      <c r="A621" s="124" t="s">
        <v>792</v>
      </c>
    </row>
    <row r="622" spans="1:10" ht="12" customHeight="1" x14ac:dyDescent="0.35">
      <c r="A622" s="241" t="s">
        <v>563</v>
      </c>
      <c r="B622" s="241" t="s">
        <v>576</v>
      </c>
      <c r="C622" s="241" t="s">
        <v>789</v>
      </c>
      <c r="D622" s="241" t="s">
        <v>793</v>
      </c>
      <c r="E622" s="241" t="s">
        <v>794</v>
      </c>
      <c r="F622" s="241" t="s">
        <v>802</v>
      </c>
      <c r="G622" s="241" t="s">
        <v>803</v>
      </c>
      <c r="H622" s="241" t="s">
        <v>795</v>
      </c>
      <c r="I622" s="241" t="s">
        <v>796</v>
      </c>
    </row>
    <row r="623" spans="1:10" ht="12" customHeight="1" x14ac:dyDescent="0.35">
      <c r="A623" s="256">
        <v>1</v>
      </c>
      <c r="B623" s="113" t="str">
        <f t="array" ref="B623">IFERROR(INDEX(comb_notes_inkind[[#This Row],[Empty line]:[No organisation name]],1,MATCH(TRUE,LEN(comb_notes_inkind[[#This Row],[Empty line]:[No organisation name]])&gt;0,0)),"")</f>
        <v/>
      </c>
      <c r="C623" s="113" t="str">
        <f>IFERROR(IF(AND(LEN(INDEX(#REF!,$A623))+LEN(INDEX(#REF!,$A623))+LEN(INDEX(#REF!,$A623))+LEN(INDEX(#REF!,$A623))&gt;0,LEN(INDEX(#REF!,$A623-1))+LEN(INDEX(#REF!,$A623-1))+LEN(INDEX(#REF!,$A623-1))+LEN(INDEX(#REF!,$A623-1))=0),$B$127,""),"")</f>
        <v/>
      </c>
      <c r="D623" s="113" t="e">
        <f>IF(AND(INDEX(#REF!,$A623)&gt;0,LEN(INDEX(#REF!,$A623))=0,cofunding_inkind_def_rates="yes"),$B$183,"")</f>
        <v>#REF!</v>
      </c>
      <c r="E623" s="113" t="e">
        <f>IF(AND(INDEX(#REF!,$A623)&gt;0,LEN(INDEX(#REF!,$A623))=0,cofunding_inkind_def_rates="yes"),$B$183,"")</f>
        <v>#REF!</v>
      </c>
      <c r="F623" s="113" t="e">
        <f>IF(AND(INDEX(#REF!,$A623)="Junior",INDEX(#REF!,$A623)&gt;cofunding_junior_rate),$B$186,IF(AND(INDEX(#REF!,$A623)="Senior",INDEX(#REF!,$A623)&gt;cofunding_senior_rate),$B$187,""))</f>
        <v>#REF!</v>
      </c>
      <c r="G623" s="113" t="e">
        <f>IF(AND(INDEX(#REF!,$A623)="Materials",LEN(INDEX(#REF!,$A623))&gt;0),$B$184,"")</f>
        <v>#REF!</v>
      </c>
      <c r="H623" s="113" t="e">
        <f>IF(AND(INDEX(#REF!,$A623)&gt;0,LEN(INDEX(#REF!,$A623))=0),$B$175,"")</f>
        <v>#REF!</v>
      </c>
      <c r="I623" s="113" t="e">
        <f>IF(AND(INDEX(#REF!,$A623)&gt;0,LEN(INDEX(#REF!,$A623))=0),$B$176,"")</f>
        <v>#REF!</v>
      </c>
    </row>
    <row r="624" spans="1:10" ht="12" customHeight="1" x14ac:dyDescent="0.35">
      <c r="A624" s="256">
        <v>2</v>
      </c>
      <c r="B624" s="113" t="str">
        <f t="array" ref="B624">IFERROR(INDEX(comb_notes_inkind[[#This Row],[Empty line]:[No organisation name]],1,MATCH(TRUE,LEN(comb_notes_inkind[[#This Row],[Empty line]:[No organisation name]])&gt;0,0)),"")</f>
        <v/>
      </c>
      <c r="C624" s="113" t="str">
        <f>IFERROR(IF(AND(LEN(INDEX(#REF!,$A624))+LEN(INDEX(#REF!,$A624))+LEN(INDEX(#REF!,$A624))+LEN(INDEX(#REF!,$A624))&gt;0,LEN(INDEX(#REF!,$A624-1))+LEN(INDEX(#REF!,$A624-1))+LEN(INDEX(#REF!,$A624-1))+LEN(INDEX(#REF!,$A624-1))=0),$B$127,""),"")</f>
        <v/>
      </c>
      <c r="D624" s="113" t="e">
        <f>IF(AND(INDEX(#REF!,$A624)&gt;0,LEN(INDEX(#REF!,$A624))=0,cofunding_inkind_def_rates="yes"),$B$183,"")</f>
        <v>#REF!</v>
      </c>
      <c r="E624" s="113" t="e">
        <f>IF(AND(INDEX(#REF!,$A624)&gt;0,LEN(INDEX(#REF!,$A624))=0,cofunding_inkind_def_rates="yes"),$B$183,"")</f>
        <v>#REF!</v>
      </c>
      <c r="F624" s="113" t="e">
        <f>IF(AND(INDEX(#REF!,$A624)="Junior",INDEX(#REF!,$A624)&gt;cofunding_junior_rate),$B$186,IF(AND(INDEX(#REF!,$A624)="Senior",INDEX(#REF!,$A624)&gt;cofunding_senior_rate),$B$187,""))</f>
        <v>#REF!</v>
      </c>
      <c r="G624" s="113" t="e">
        <f>IF(AND(INDEX(#REF!,$A624)="Materials",LEN(INDEX(#REF!,$A624))&gt;0),$B$184,"")</f>
        <v>#REF!</v>
      </c>
      <c r="H624" s="113" t="e">
        <f>IF(AND(INDEX(#REF!,$A624)&gt;0,LEN(INDEX(#REF!,$A624))=0),$B$175,"")</f>
        <v>#REF!</v>
      </c>
      <c r="I624" s="113" t="e">
        <f>IF(AND(INDEX(#REF!,$A624)&gt;0,LEN(INDEX(#REF!,$A624))=0),$B$176,"")</f>
        <v>#REF!</v>
      </c>
    </row>
    <row r="625" spans="1:9" ht="12" customHeight="1" x14ac:dyDescent="0.35">
      <c r="A625" s="256">
        <v>3</v>
      </c>
      <c r="B625" s="113" t="str">
        <f t="array" ref="B625">IFERROR(INDEX(comb_notes_inkind[[#This Row],[Empty line]:[No organisation name]],1,MATCH(TRUE,LEN(comb_notes_inkind[[#This Row],[Empty line]:[No organisation name]])&gt;0,0)),"")</f>
        <v/>
      </c>
      <c r="C625" s="113" t="str">
        <f>IFERROR(IF(AND(LEN(INDEX(#REF!,$A625))+LEN(INDEX(#REF!,$A625))+LEN(INDEX(#REF!,$A625))+LEN(INDEX(#REF!,$A625))&gt;0,LEN(INDEX(#REF!,$A625-1))+LEN(INDEX(#REF!,$A625-1))+LEN(INDEX(#REF!,$A625-1))+LEN(INDEX(#REF!,$A625-1))=0),$B$127,""),"")</f>
        <v/>
      </c>
      <c r="D625" s="113" t="e">
        <f>IF(AND(INDEX(#REF!,$A625)&gt;0,LEN(INDEX(#REF!,$A625))=0,cofunding_inkind_def_rates="yes"),$B$183,"")</f>
        <v>#REF!</v>
      </c>
      <c r="E625" s="113" t="e">
        <f>IF(AND(INDEX(#REF!,$A625)&gt;0,LEN(INDEX(#REF!,$A625))=0,cofunding_inkind_def_rates="yes"),$B$183,"")</f>
        <v>#REF!</v>
      </c>
      <c r="F625" s="113" t="e">
        <f>IF(AND(INDEX(#REF!,$A625)="Junior",INDEX(#REF!,$A625)&gt;cofunding_junior_rate),$B$186,IF(AND(INDEX(#REF!,$A625)="Senior",INDEX(#REF!,$A625)&gt;cofunding_senior_rate),$B$187,""))</f>
        <v>#REF!</v>
      </c>
      <c r="G625" s="113" t="e">
        <f>IF(AND(INDEX(#REF!,$A625)="Materials",LEN(INDEX(#REF!,$A625))&gt;0),$B$184,"")</f>
        <v>#REF!</v>
      </c>
      <c r="H625" s="113" t="e">
        <f>IF(AND(INDEX(#REF!,$A625)&gt;0,LEN(INDEX(#REF!,$A625))=0),$B$175,"")</f>
        <v>#REF!</v>
      </c>
      <c r="I625" s="113" t="e">
        <f>IF(AND(INDEX(#REF!,$A625)&gt;0,LEN(INDEX(#REF!,$A625))=0),$B$176,"")</f>
        <v>#REF!</v>
      </c>
    </row>
    <row r="626" spans="1:9" ht="12" customHeight="1" x14ac:dyDescent="0.35">
      <c r="A626" s="256">
        <v>4</v>
      </c>
      <c r="B626" s="113" t="str">
        <f t="array" ref="B626">IFERROR(INDEX(comb_notes_inkind[[#This Row],[Empty line]:[No organisation name]],1,MATCH(TRUE,LEN(comb_notes_inkind[[#This Row],[Empty line]:[No organisation name]])&gt;0,0)),"")</f>
        <v/>
      </c>
      <c r="C626" s="113" t="str">
        <f>IFERROR(IF(AND(LEN(INDEX(#REF!,$A626))+LEN(INDEX(#REF!,$A626))+LEN(INDEX(#REF!,$A626))+LEN(INDEX(#REF!,$A626))&gt;0,LEN(INDEX(#REF!,$A626-1))+LEN(INDEX(#REF!,$A626-1))+LEN(INDEX(#REF!,$A626-1))+LEN(INDEX(#REF!,$A626-1))=0),$B$127,""),"")</f>
        <v/>
      </c>
      <c r="D626" s="113" t="e">
        <f>IF(AND(INDEX(#REF!,$A626)&gt;0,LEN(INDEX(#REF!,$A626))=0,cofunding_inkind_def_rates="yes"),$B$183,"")</f>
        <v>#REF!</v>
      </c>
      <c r="E626" s="113" t="e">
        <f>IF(AND(INDEX(#REF!,$A626)&gt;0,LEN(INDEX(#REF!,$A626))=0,cofunding_inkind_def_rates="yes"),$B$183,"")</f>
        <v>#REF!</v>
      </c>
      <c r="F626" s="113" t="e">
        <f>IF(AND(INDEX(#REF!,$A626)="Junior",INDEX(#REF!,$A626)&gt;cofunding_junior_rate),$B$186,IF(AND(INDEX(#REF!,$A626)="Senior",INDEX(#REF!,$A626)&gt;cofunding_senior_rate),$B$187,""))</f>
        <v>#REF!</v>
      </c>
      <c r="G626" s="113" t="e">
        <f>IF(AND(INDEX(#REF!,$A626)="Materials",LEN(INDEX(#REF!,$A626))&gt;0),$B$184,"")</f>
        <v>#REF!</v>
      </c>
      <c r="H626" s="113" t="e">
        <f>IF(AND(INDEX(#REF!,$A626)&gt;0,LEN(INDEX(#REF!,$A626))=0),$B$175,"")</f>
        <v>#REF!</v>
      </c>
      <c r="I626" s="113" t="e">
        <f>IF(AND(INDEX(#REF!,$A626)&gt;0,LEN(INDEX(#REF!,$A626))=0),$B$176,"")</f>
        <v>#REF!</v>
      </c>
    </row>
    <row r="627" spans="1:9" ht="12" customHeight="1" x14ac:dyDescent="0.35">
      <c r="A627" s="256">
        <v>5</v>
      </c>
      <c r="B627" s="113" t="str">
        <f t="array" ref="B627">IFERROR(INDEX(comb_notes_inkind[[#This Row],[Empty line]:[No organisation name]],1,MATCH(TRUE,LEN(comb_notes_inkind[[#This Row],[Empty line]:[No organisation name]])&gt;0,0)),"")</f>
        <v/>
      </c>
      <c r="C627" s="113" t="str">
        <f>IFERROR(IF(AND(LEN(INDEX(#REF!,$A627))+LEN(INDEX(#REF!,$A627))+LEN(INDEX(#REF!,$A627))+LEN(INDEX(#REF!,$A627))&gt;0,LEN(INDEX(#REF!,$A627-1))+LEN(INDEX(#REF!,$A627-1))+LEN(INDEX(#REF!,$A627-1))+LEN(INDEX(#REF!,$A627-1))=0),$B$127,""),"")</f>
        <v/>
      </c>
      <c r="D627" s="113" t="e">
        <f>IF(AND(INDEX(#REF!,$A627)&gt;0,LEN(INDEX(#REF!,$A627))=0,cofunding_inkind_def_rates="yes"),$B$183,"")</f>
        <v>#REF!</v>
      </c>
      <c r="E627" s="113" t="e">
        <f>IF(AND(INDEX(#REF!,$A627)&gt;0,LEN(INDEX(#REF!,$A627))=0,cofunding_inkind_def_rates="yes"),$B$183,"")</f>
        <v>#REF!</v>
      </c>
      <c r="F627" s="113" t="e">
        <f>IF(AND(INDEX(#REF!,$A627)="Junior",INDEX(#REF!,$A627)&gt;cofunding_junior_rate),$B$186,IF(AND(INDEX(#REF!,$A627)="Senior",INDEX(#REF!,$A627)&gt;cofunding_senior_rate),$B$187,""))</f>
        <v>#REF!</v>
      </c>
      <c r="G627" s="113" t="e">
        <f>IF(AND(INDEX(#REF!,$A627)="Materials",LEN(INDEX(#REF!,$A627))&gt;0),$B$184,"")</f>
        <v>#REF!</v>
      </c>
      <c r="H627" s="113" t="e">
        <f>IF(AND(INDEX(#REF!,$A627)&gt;0,LEN(INDEX(#REF!,$A627))=0),$B$175,"")</f>
        <v>#REF!</v>
      </c>
      <c r="I627" s="113" t="e">
        <f>IF(AND(INDEX(#REF!,$A627)&gt;0,LEN(INDEX(#REF!,$A627))=0),$B$176,"")</f>
        <v>#REF!</v>
      </c>
    </row>
    <row r="628" spans="1:9" ht="12" customHeight="1" x14ac:dyDescent="0.35">
      <c r="A628" s="256">
        <v>6</v>
      </c>
      <c r="B628" s="113" t="str">
        <f t="array" ref="B628">IFERROR(INDEX(comb_notes_inkind[[#This Row],[Empty line]:[No organisation name]],1,MATCH(TRUE,LEN(comb_notes_inkind[[#This Row],[Empty line]:[No organisation name]])&gt;0,0)),"")</f>
        <v/>
      </c>
      <c r="C628" s="113" t="str">
        <f>IFERROR(IF(AND(LEN(INDEX(#REF!,$A628))+LEN(INDEX(#REF!,$A628))+LEN(INDEX(#REF!,$A628))+LEN(INDEX(#REF!,$A628))&gt;0,LEN(INDEX(#REF!,$A628-1))+LEN(INDEX(#REF!,$A628-1))+LEN(INDEX(#REF!,$A628-1))+LEN(INDEX(#REF!,$A628-1))=0),$B$127,""),"")</f>
        <v/>
      </c>
      <c r="D628" s="113" t="e">
        <f>IF(AND(INDEX(#REF!,$A628)&gt;0,LEN(INDEX(#REF!,$A628))=0,cofunding_inkind_def_rates="yes"),$B$183,"")</f>
        <v>#REF!</v>
      </c>
      <c r="E628" s="113" t="e">
        <f>IF(AND(INDEX(#REF!,$A628)&gt;0,LEN(INDEX(#REF!,$A628))=0,cofunding_inkind_def_rates="yes"),$B$183,"")</f>
        <v>#REF!</v>
      </c>
      <c r="F628" s="113" t="e">
        <f>IF(AND(INDEX(#REF!,$A628)="Junior",INDEX(#REF!,$A628)&gt;cofunding_junior_rate),$B$186,IF(AND(INDEX(#REF!,$A628)="Senior",INDEX(#REF!,$A628)&gt;cofunding_senior_rate),$B$187,""))</f>
        <v>#REF!</v>
      </c>
      <c r="G628" s="113" t="e">
        <f>IF(AND(INDEX(#REF!,$A628)="Materials",LEN(INDEX(#REF!,$A628))&gt;0),$B$184,"")</f>
        <v>#REF!</v>
      </c>
      <c r="H628" s="113" t="e">
        <f>IF(AND(INDEX(#REF!,$A628)&gt;0,LEN(INDEX(#REF!,$A628))=0),$B$175,"")</f>
        <v>#REF!</v>
      </c>
      <c r="I628" s="113" t="e">
        <f>IF(AND(INDEX(#REF!,$A628)&gt;0,LEN(INDEX(#REF!,$A628))=0),$B$176,"")</f>
        <v>#REF!</v>
      </c>
    </row>
    <row r="629" spans="1:9" ht="12" customHeight="1" x14ac:dyDescent="0.35">
      <c r="A629" s="256">
        <v>7</v>
      </c>
      <c r="B629" s="113" t="str">
        <f t="array" ref="B629">IFERROR(INDEX(comb_notes_inkind[[#This Row],[Empty line]:[No organisation name]],1,MATCH(TRUE,LEN(comb_notes_inkind[[#This Row],[Empty line]:[No organisation name]])&gt;0,0)),"")</f>
        <v/>
      </c>
      <c r="C629" s="113" t="str">
        <f>IFERROR(IF(AND(LEN(INDEX(#REF!,$A629))+LEN(INDEX(#REF!,$A629))+LEN(INDEX(#REF!,$A629))+LEN(INDEX(#REF!,$A629))&gt;0,LEN(INDEX(#REF!,$A629-1))+LEN(INDEX(#REF!,$A629-1))+LEN(INDEX(#REF!,$A629-1))+LEN(INDEX(#REF!,$A629-1))=0),$B$127,""),"")</f>
        <v/>
      </c>
      <c r="D629" s="113" t="e">
        <f>IF(AND(INDEX(#REF!,$A629)&gt;0,LEN(INDEX(#REF!,$A629))=0,cofunding_inkind_def_rates="yes"),$B$183,"")</f>
        <v>#REF!</v>
      </c>
      <c r="E629" s="113" t="e">
        <f>IF(AND(INDEX(#REF!,$A629)&gt;0,LEN(INDEX(#REF!,$A629))=0,cofunding_inkind_def_rates="yes"),$B$183,"")</f>
        <v>#REF!</v>
      </c>
      <c r="F629" s="113" t="e">
        <f>IF(AND(INDEX(#REF!,$A629)="Junior",INDEX(#REF!,$A629)&gt;cofunding_junior_rate),$B$186,IF(AND(INDEX(#REF!,$A629)="Senior",INDEX(#REF!,$A629)&gt;cofunding_senior_rate),$B$187,""))</f>
        <v>#REF!</v>
      </c>
      <c r="G629" s="113" t="e">
        <f>IF(AND(INDEX(#REF!,$A629)="Materials",LEN(INDEX(#REF!,$A629))&gt;0),$B$184,"")</f>
        <v>#REF!</v>
      </c>
      <c r="H629" s="113" t="e">
        <f>IF(AND(INDEX(#REF!,$A629)&gt;0,LEN(INDEX(#REF!,$A629))=0),$B$175,"")</f>
        <v>#REF!</v>
      </c>
      <c r="I629" s="113" t="e">
        <f>IF(AND(INDEX(#REF!,$A629)&gt;0,LEN(INDEX(#REF!,$A629))=0),$B$176,"")</f>
        <v>#REF!</v>
      </c>
    </row>
    <row r="630" spans="1:9" ht="12" customHeight="1" x14ac:dyDescent="0.35">
      <c r="A630" s="256">
        <v>8</v>
      </c>
      <c r="B630" s="113" t="str">
        <f t="array" ref="B630">IFERROR(INDEX(comb_notes_inkind[[#This Row],[Empty line]:[No organisation name]],1,MATCH(TRUE,LEN(comb_notes_inkind[[#This Row],[Empty line]:[No organisation name]])&gt;0,0)),"")</f>
        <v/>
      </c>
      <c r="C630" s="113" t="str">
        <f>IFERROR(IF(AND(LEN(INDEX(#REF!,$A630))+LEN(INDEX(#REF!,$A630))+LEN(INDEX(#REF!,$A630))+LEN(INDEX(#REF!,$A630))&gt;0,LEN(INDEX(#REF!,$A630-1))+LEN(INDEX(#REF!,$A630-1))+LEN(INDEX(#REF!,$A630-1))+LEN(INDEX(#REF!,$A630-1))=0),$B$127,""),"")</f>
        <v/>
      </c>
      <c r="D630" s="113" t="e">
        <f>IF(AND(INDEX(#REF!,$A630)&gt;0,LEN(INDEX(#REF!,$A630))=0,cofunding_inkind_def_rates="yes"),$B$183,"")</f>
        <v>#REF!</v>
      </c>
      <c r="E630" s="113" t="e">
        <f>IF(AND(INDEX(#REF!,$A630)&gt;0,LEN(INDEX(#REF!,$A630))=0,cofunding_inkind_def_rates="yes"),$B$183,"")</f>
        <v>#REF!</v>
      </c>
      <c r="F630" s="113" t="e">
        <f>IF(AND(INDEX(#REF!,$A630)="Junior",INDEX(#REF!,$A630)&gt;cofunding_junior_rate),$B$186,IF(AND(INDEX(#REF!,$A630)="Senior",INDEX(#REF!,$A630)&gt;cofunding_senior_rate),$B$187,""))</f>
        <v>#REF!</v>
      </c>
      <c r="G630" s="113" t="e">
        <f>IF(AND(INDEX(#REF!,$A630)="Materials",LEN(INDEX(#REF!,$A630))&gt;0),$B$184,"")</f>
        <v>#REF!</v>
      </c>
      <c r="H630" s="113" t="e">
        <f>IF(AND(INDEX(#REF!,$A630)&gt;0,LEN(INDEX(#REF!,$A630))=0),$B$175,"")</f>
        <v>#REF!</v>
      </c>
      <c r="I630" s="113" t="e">
        <f>IF(AND(INDEX(#REF!,$A630)&gt;0,LEN(INDEX(#REF!,$A630))=0),$B$176,"")</f>
        <v>#REF!</v>
      </c>
    </row>
    <row r="631" spans="1:9" ht="12" customHeight="1" x14ac:dyDescent="0.35">
      <c r="A631" s="256">
        <v>9</v>
      </c>
      <c r="B631" s="113" t="str">
        <f t="array" ref="B631">IFERROR(INDEX(comb_notes_inkind[[#This Row],[Empty line]:[No organisation name]],1,MATCH(TRUE,LEN(comb_notes_inkind[[#This Row],[Empty line]:[No organisation name]])&gt;0,0)),"")</f>
        <v/>
      </c>
      <c r="C631" s="113" t="str">
        <f>IFERROR(IF(AND(LEN(INDEX(#REF!,$A631))+LEN(INDEX(#REF!,$A631))+LEN(INDEX(#REF!,$A631))+LEN(INDEX(#REF!,$A631))&gt;0,LEN(INDEX(#REF!,$A631-1))+LEN(INDEX(#REF!,$A631-1))+LEN(INDEX(#REF!,$A631-1))+LEN(INDEX(#REF!,$A631-1))=0),$B$127,""),"")</f>
        <v/>
      </c>
      <c r="D631" s="113" t="e">
        <f>IF(AND(INDEX(#REF!,$A631)&gt;0,LEN(INDEX(#REF!,$A631))=0,cofunding_inkind_def_rates="yes"),$B$183,"")</f>
        <v>#REF!</v>
      </c>
      <c r="E631" s="113" t="e">
        <f>IF(AND(INDEX(#REF!,$A631)&gt;0,LEN(INDEX(#REF!,$A631))=0,cofunding_inkind_def_rates="yes"),$B$183,"")</f>
        <v>#REF!</v>
      </c>
      <c r="F631" s="113" t="e">
        <f>IF(AND(INDEX(#REF!,$A631)="Junior",INDEX(#REF!,$A631)&gt;cofunding_junior_rate),$B$186,IF(AND(INDEX(#REF!,$A631)="Senior",INDEX(#REF!,$A631)&gt;cofunding_senior_rate),$B$187,""))</f>
        <v>#REF!</v>
      </c>
      <c r="G631" s="113" t="e">
        <f>IF(AND(INDEX(#REF!,$A631)="Materials",LEN(INDEX(#REF!,$A631))&gt;0),$B$184,"")</f>
        <v>#REF!</v>
      </c>
      <c r="H631" s="113" t="e">
        <f>IF(AND(INDEX(#REF!,$A631)&gt;0,LEN(INDEX(#REF!,$A631))=0),$B$175,"")</f>
        <v>#REF!</v>
      </c>
      <c r="I631" s="113" t="e">
        <f>IF(AND(INDEX(#REF!,$A631)&gt;0,LEN(INDEX(#REF!,$A631))=0),$B$176,"")</f>
        <v>#REF!</v>
      </c>
    </row>
    <row r="632" spans="1:9" ht="12" customHeight="1" x14ac:dyDescent="0.35">
      <c r="A632" s="256">
        <v>10</v>
      </c>
      <c r="B632" s="113" t="str">
        <f t="array" ref="B632">IFERROR(INDEX(comb_notes_inkind[[#This Row],[Empty line]:[No organisation name]],1,MATCH(TRUE,LEN(comb_notes_inkind[[#This Row],[Empty line]:[No organisation name]])&gt;0,0)),"")</f>
        <v/>
      </c>
      <c r="C632" s="113" t="str">
        <f>IFERROR(IF(AND(LEN(INDEX(#REF!,$A632))+LEN(INDEX(#REF!,$A632))+LEN(INDEX(#REF!,$A632))+LEN(INDEX(#REF!,$A632))&gt;0,LEN(INDEX(#REF!,$A632-1))+LEN(INDEX(#REF!,$A632-1))+LEN(INDEX(#REF!,$A632-1))+LEN(INDEX(#REF!,$A632-1))=0),$B$127,""),"")</f>
        <v/>
      </c>
      <c r="D632" s="113" t="e">
        <f>IF(AND(INDEX(#REF!,$A632)&gt;0,LEN(INDEX(#REF!,$A632))=0,cofunding_inkind_def_rates="yes"),$B$183,"")</f>
        <v>#REF!</v>
      </c>
      <c r="E632" s="113" t="e">
        <f>IF(AND(INDEX(#REF!,$A632)&gt;0,LEN(INDEX(#REF!,$A632))=0,cofunding_inkind_def_rates="yes"),$B$183,"")</f>
        <v>#REF!</v>
      </c>
      <c r="F632" s="113" t="e">
        <f>IF(AND(INDEX(#REF!,$A632)="Junior",INDEX(#REF!,$A632)&gt;cofunding_junior_rate),$B$186,IF(AND(INDEX(#REF!,$A632)="Senior",INDEX(#REF!,$A632)&gt;cofunding_senior_rate),$B$187,""))</f>
        <v>#REF!</v>
      </c>
      <c r="G632" s="113" t="e">
        <f>IF(AND(INDEX(#REF!,$A632)="Materials",LEN(INDEX(#REF!,$A632))&gt;0),$B$184,"")</f>
        <v>#REF!</v>
      </c>
      <c r="H632" s="113" t="e">
        <f>IF(AND(INDEX(#REF!,$A632)&gt;0,LEN(INDEX(#REF!,$A632))=0),$B$175,"")</f>
        <v>#REF!</v>
      </c>
      <c r="I632" s="113" t="e">
        <f>IF(AND(INDEX(#REF!,$A632)&gt;0,LEN(INDEX(#REF!,$A632))=0),$B$176,"")</f>
        <v>#REF!</v>
      </c>
    </row>
    <row r="633" spans="1:9" ht="12" customHeight="1" x14ac:dyDescent="0.35">
      <c r="A633" s="256">
        <v>11</v>
      </c>
      <c r="B633" s="113" t="str">
        <f t="array" ref="B633">IFERROR(INDEX(comb_notes_inkind[[#This Row],[Empty line]:[No organisation name]],1,MATCH(TRUE,LEN(comb_notes_inkind[[#This Row],[Empty line]:[No organisation name]])&gt;0,0)),"")</f>
        <v/>
      </c>
      <c r="C633" s="113" t="str">
        <f>IFERROR(IF(AND(LEN(INDEX(#REF!,$A633))+LEN(INDEX(#REF!,$A633))+LEN(INDEX(#REF!,$A633))+LEN(INDEX(#REF!,$A633))&gt;0,LEN(INDEX(#REF!,$A633-1))+LEN(INDEX(#REF!,$A633-1))+LEN(INDEX(#REF!,$A633-1))+LEN(INDEX(#REF!,$A633-1))=0),$B$127,""),"")</f>
        <v/>
      </c>
      <c r="D633" s="113" t="e">
        <f>IF(AND(INDEX(#REF!,$A633)&gt;0,LEN(INDEX(#REF!,$A633))=0,cofunding_inkind_def_rates="yes"),$B$183,"")</f>
        <v>#REF!</v>
      </c>
      <c r="E633" s="113" t="e">
        <f>IF(AND(INDEX(#REF!,$A633)&gt;0,LEN(INDEX(#REF!,$A633))=0,cofunding_inkind_def_rates="yes"),$B$183,"")</f>
        <v>#REF!</v>
      </c>
      <c r="F633" s="113" t="e">
        <f>IF(AND(INDEX(#REF!,$A633)="Junior",INDEX(#REF!,$A633)&gt;cofunding_junior_rate),$B$186,IF(AND(INDEX(#REF!,$A633)="Senior",INDEX(#REF!,$A633)&gt;cofunding_senior_rate),$B$187,""))</f>
        <v>#REF!</v>
      </c>
      <c r="G633" s="113" t="e">
        <f>IF(AND(INDEX(#REF!,$A633)="Materials",LEN(INDEX(#REF!,$A633))&gt;0),$B$184,"")</f>
        <v>#REF!</v>
      </c>
      <c r="H633" s="113" t="e">
        <f>IF(AND(INDEX(#REF!,$A633)&gt;0,LEN(INDEX(#REF!,$A633))=0),$B$175,"")</f>
        <v>#REF!</v>
      </c>
      <c r="I633" s="113" t="e">
        <f>IF(AND(INDEX(#REF!,$A633)&gt;0,LEN(INDEX(#REF!,$A633))=0),$B$176,"")</f>
        <v>#REF!</v>
      </c>
    </row>
    <row r="634" spans="1:9" ht="12" customHeight="1" x14ac:dyDescent="0.35">
      <c r="A634" s="256">
        <v>12</v>
      </c>
      <c r="B634" s="113" t="str">
        <f t="array" ref="B634">IFERROR(INDEX(comb_notes_inkind[[#This Row],[Empty line]:[No organisation name]],1,MATCH(TRUE,LEN(comb_notes_inkind[[#This Row],[Empty line]:[No organisation name]])&gt;0,0)),"")</f>
        <v/>
      </c>
      <c r="C634" s="113" t="str">
        <f>IFERROR(IF(AND(LEN(INDEX(#REF!,$A634))+LEN(INDEX(#REF!,$A634))+LEN(INDEX(#REF!,$A634))+LEN(INDEX(#REF!,$A634))&gt;0,LEN(INDEX(#REF!,$A634-1))+LEN(INDEX(#REF!,$A634-1))+LEN(INDEX(#REF!,$A634-1))+LEN(INDEX(#REF!,$A634-1))=0),$B$127,""),"")</f>
        <v/>
      </c>
      <c r="D634" s="113" t="e">
        <f>IF(AND(INDEX(#REF!,$A634)&gt;0,LEN(INDEX(#REF!,$A634))=0,cofunding_inkind_def_rates="yes"),$B$183,"")</f>
        <v>#REF!</v>
      </c>
      <c r="E634" s="113" t="e">
        <f>IF(AND(INDEX(#REF!,$A634)&gt;0,LEN(INDEX(#REF!,$A634))=0,cofunding_inkind_def_rates="yes"),$B$183,"")</f>
        <v>#REF!</v>
      </c>
      <c r="F634" s="113" t="e">
        <f>IF(AND(INDEX(#REF!,$A634)="Junior",INDEX(#REF!,$A634)&gt;cofunding_junior_rate),$B$186,IF(AND(INDEX(#REF!,$A634)="Senior",INDEX(#REF!,$A634)&gt;cofunding_senior_rate),$B$187,""))</f>
        <v>#REF!</v>
      </c>
      <c r="G634" s="113" t="e">
        <f>IF(AND(INDEX(#REF!,$A634)="Materials",LEN(INDEX(#REF!,$A634))&gt;0),$B$184,"")</f>
        <v>#REF!</v>
      </c>
      <c r="H634" s="113" t="e">
        <f>IF(AND(INDEX(#REF!,$A634)&gt;0,LEN(INDEX(#REF!,$A634))=0),$B$175,"")</f>
        <v>#REF!</v>
      </c>
      <c r="I634" s="113" t="e">
        <f>IF(AND(INDEX(#REF!,$A634)&gt;0,LEN(INDEX(#REF!,$A634))=0),$B$176,"")</f>
        <v>#REF!</v>
      </c>
    </row>
    <row r="635" spans="1:9" ht="12" customHeight="1" x14ac:dyDescent="0.35">
      <c r="A635" s="256">
        <v>13</v>
      </c>
      <c r="B635" s="113" t="str">
        <f t="array" ref="B635">IFERROR(INDEX(comb_notes_inkind[[#This Row],[Empty line]:[No organisation name]],1,MATCH(TRUE,LEN(comb_notes_inkind[[#This Row],[Empty line]:[No organisation name]])&gt;0,0)),"")</f>
        <v/>
      </c>
      <c r="C635" s="113" t="str">
        <f>IFERROR(IF(AND(LEN(INDEX(#REF!,$A635))+LEN(INDEX(#REF!,$A635))+LEN(INDEX(#REF!,$A635))+LEN(INDEX(#REF!,$A635))&gt;0,LEN(INDEX(#REF!,$A635-1))+LEN(INDEX(#REF!,$A635-1))+LEN(INDEX(#REF!,$A635-1))+LEN(INDEX(#REF!,$A635-1))=0),$B$127,""),"")</f>
        <v/>
      </c>
      <c r="D635" s="113" t="e">
        <f>IF(AND(INDEX(#REF!,$A635)&gt;0,LEN(INDEX(#REF!,$A635))=0,cofunding_inkind_def_rates="yes"),$B$183,"")</f>
        <v>#REF!</v>
      </c>
      <c r="E635" s="113" t="e">
        <f>IF(AND(INDEX(#REF!,$A635)&gt;0,LEN(INDEX(#REF!,$A635))=0,cofunding_inkind_def_rates="yes"),$B$183,"")</f>
        <v>#REF!</v>
      </c>
      <c r="F635" s="113" t="e">
        <f>IF(AND(INDEX(#REF!,$A635)="Junior",INDEX(#REF!,$A635)&gt;cofunding_junior_rate),$B$186,IF(AND(INDEX(#REF!,$A635)="Senior",INDEX(#REF!,$A635)&gt;cofunding_senior_rate),$B$187,""))</f>
        <v>#REF!</v>
      </c>
      <c r="G635" s="113" t="e">
        <f>IF(AND(INDEX(#REF!,$A635)="Materials",LEN(INDEX(#REF!,$A635))&gt;0),$B$184,"")</f>
        <v>#REF!</v>
      </c>
      <c r="H635" s="113" t="e">
        <f>IF(AND(INDEX(#REF!,$A635)&gt;0,LEN(INDEX(#REF!,$A635))=0),$B$175,"")</f>
        <v>#REF!</v>
      </c>
      <c r="I635" s="113" t="e">
        <f>IF(AND(INDEX(#REF!,$A635)&gt;0,LEN(INDEX(#REF!,$A635))=0),$B$176,"")</f>
        <v>#REF!</v>
      </c>
    </row>
    <row r="636" spans="1:9" ht="12" customHeight="1" x14ac:dyDescent="0.35">
      <c r="A636" s="256">
        <v>14</v>
      </c>
      <c r="B636" s="113" t="str">
        <f t="array" ref="B636">IFERROR(INDEX(comb_notes_inkind[[#This Row],[Empty line]:[No organisation name]],1,MATCH(TRUE,LEN(comb_notes_inkind[[#This Row],[Empty line]:[No organisation name]])&gt;0,0)),"")</f>
        <v/>
      </c>
      <c r="C636" s="113" t="str">
        <f>IFERROR(IF(AND(LEN(INDEX(#REF!,$A636))+LEN(INDEX(#REF!,$A636))+LEN(INDEX(#REF!,$A636))+LEN(INDEX(#REF!,$A636))&gt;0,LEN(INDEX(#REF!,$A636-1))+LEN(INDEX(#REF!,$A636-1))+LEN(INDEX(#REF!,$A636-1))+LEN(INDEX(#REF!,$A636-1))=0),$B$127,""),"")</f>
        <v/>
      </c>
      <c r="D636" s="113" t="e">
        <f>IF(AND(INDEX(#REF!,$A636)&gt;0,LEN(INDEX(#REF!,$A636))=0,cofunding_inkind_def_rates="yes"),$B$183,"")</f>
        <v>#REF!</v>
      </c>
      <c r="E636" s="113" t="e">
        <f>IF(AND(INDEX(#REF!,$A636)&gt;0,LEN(INDEX(#REF!,$A636))=0,cofunding_inkind_def_rates="yes"),$B$183,"")</f>
        <v>#REF!</v>
      </c>
      <c r="F636" s="113" t="e">
        <f>IF(AND(INDEX(#REF!,$A636)="Junior",INDEX(#REF!,$A636)&gt;cofunding_junior_rate),$B$186,IF(AND(INDEX(#REF!,$A636)="Senior",INDEX(#REF!,$A636)&gt;cofunding_senior_rate),$B$187,""))</f>
        <v>#REF!</v>
      </c>
      <c r="G636" s="113" t="e">
        <f>IF(AND(INDEX(#REF!,$A636)="Materials",LEN(INDEX(#REF!,$A636))&gt;0),$B$184,"")</f>
        <v>#REF!</v>
      </c>
      <c r="H636" s="113" t="e">
        <f>IF(AND(INDEX(#REF!,$A636)&gt;0,LEN(INDEX(#REF!,$A636))=0),$B$175,"")</f>
        <v>#REF!</v>
      </c>
      <c r="I636" s="113" t="e">
        <f>IF(AND(INDEX(#REF!,$A636)&gt;0,LEN(INDEX(#REF!,$A636))=0),$B$176,"")</f>
        <v>#REF!</v>
      </c>
    </row>
    <row r="637" spans="1:9" ht="12" customHeight="1" x14ac:dyDescent="0.35">
      <c r="A637" s="256">
        <v>15</v>
      </c>
      <c r="B637" s="113" t="str">
        <f t="array" ref="B637">IFERROR(INDEX(comb_notes_inkind[[#This Row],[Empty line]:[No organisation name]],1,MATCH(TRUE,LEN(comb_notes_inkind[[#This Row],[Empty line]:[No organisation name]])&gt;0,0)),"")</f>
        <v/>
      </c>
      <c r="C637" s="113" t="str">
        <f>IFERROR(IF(AND(LEN(INDEX(#REF!,$A637))+LEN(INDEX(#REF!,$A637))+LEN(INDEX(#REF!,$A637))+LEN(INDEX(#REF!,$A637))&gt;0,LEN(INDEX(#REF!,$A637-1))+LEN(INDEX(#REF!,$A637-1))+LEN(INDEX(#REF!,$A637-1))+LEN(INDEX(#REF!,$A637-1))=0),$B$127,""),"")</f>
        <v/>
      </c>
      <c r="D637" s="113" t="e">
        <f>IF(AND(INDEX(#REF!,$A637)&gt;0,LEN(INDEX(#REF!,$A637))=0,cofunding_inkind_def_rates="yes"),$B$183,"")</f>
        <v>#REF!</v>
      </c>
      <c r="E637" s="113" t="e">
        <f>IF(AND(INDEX(#REF!,$A637)&gt;0,LEN(INDEX(#REF!,$A637))=0,cofunding_inkind_def_rates="yes"),$B$183,"")</f>
        <v>#REF!</v>
      </c>
      <c r="F637" s="113" t="e">
        <f>IF(AND(INDEX(#REF!,$A637)="Junior",INDEX(#REF!,$A637)&gt;cofunding_junior_rate),$B$186,IF(AND(INDEX(#REF!,$A637)="Senior",INDEX(#REF!,$A637)&gt;cofunding_senior_rate),$B$187,""))</f>
        <v>#REF!</v>
      </c>
      <c r="G637" s="113" t="e">
        <f>IF(AND(INDEX(#REF!,$A637)="Materials",LEN(INDEX(#REF!,$A637))&gt;0),$B$184,"")</f>
        <v>#REF!</v>
      </c>
      <c r="H637" s="113" t="e">
        <f>IF(AND(INDEX(#REF!,$A637)&gt;0,LEN(INDEX(#REF!,$A637))=0),$B$175,"")</f>
        <v>#REF!</v>
      </c>
      <c r="I637" s="113" t="e">
        <f>IF(AND(INDEX(#REF!,$A637)&gt;0,LEN(INDEX(#REF!,$A637))=0),$B$176,"")</f>
        <v>#REF!</v>
      </c>
    </row>
    <row r="638" spans="1:9" ht="12" customHeight="1" x14ac:dyDescent="0.35">
      <c r="A638" s="256">
        <v>16</v>
      </c>
      <c r="B638" s="113" t="str">
        <f t="array" ref="B638">IFERROR(INDEX(comb_notes_inkind[[#This Row],[Empty line]:[No organisation name]],1,MATCH(TRUE,LEN(comb_notes_inkind[[#This Row],[Empty line]:[No organisation name]])&gt;0,0)),"")</f>
        <v/>
      </c>
      <c r="C638" s="113" t="str">
        <f>IFERROR(IF(AND(LEN(INDEX(#REF!,$A638))+LEN(INDEX(#REF!,$A638))+LEN(INDEX(#REF!,$A638))+LEN(INDEX(#REF!,$A638))&gt;0,LEN(INDEX(#REF!,$A638-1))+LEN(INDEX(#REF!,$A638-1))+LEN(INDEX(#REF!,$A638-1))+LEN(INDEX(#REF!,$A638-1))=0),$B$127,""),"")</f>
        <v/>
      </c>
      <c r="D638" s="113" t="e">
        <f>IF(AND(INDEX(#REF!,$A638)&gt;0,LEN(INDEX(#REF!,$A638))=0,cofunding_inkind_def_rates="yes"),$B$183,"")</f>
        <v>#REF!</v>
      </c>
      <c r="E638" s="113" t="e">
        <f>IF(AND(INDEX(#REF!,$A638)&gt;0,LEN(INDEX(#REF!,$A638))=0,cofunding_inkind_def_rates="yes"),$B$183,"")</f>
        <v>#REF!</v>
      </c>
      <c r="F638" s="113" t="e">
        <f>IF(AND(INDEX(#REF!,$A638)="Junior",INDEX(#REF!,$A638)&gt;cofunding_junior_rate),$B$186,IF(AND(INDEX(#REF!,$A638)="Senior",INDEX(#REF!,$A638)&gt;cofunding_senior_rate),$B$187,""))</f>
        <v>#REF!</v>
      </c>
      <c r="G638" s="113" t="e">
        <f>IF(AND(INDEX(#REF!,$A638)="Materials",LEN(INDEX(#REF!,$A638))&gt;0),$B$184,"")</f>
        <v>#REF!</v>
      </c>
      <c r="H638" s="113" t="e">
        <f>IF(AND(INDEX(#REF!,$A638)&gt;0,LEN(INDEX(#REF!,$A638))=0),$B$175,"")</f>
        <v>#REF!</v>
      </c>
      <c r="I638" s="113" t="e">
        <f>IF(AND(INDEX(#REF!,$A638)&gt;0,LEN(INDEX(#REF!,$A638))=0),$B$176,"")</f>
        <v>#REF!</v>
      </c>
    </row>
    <row r="639" spans="1:9" ht="12" customHeight="1" x14ac:dyDescent="0.35">
      <c r="A639" s="256">
        <v>17</v>
      </c>
      <c r="B639" s="113" t="str">
        <f t="array" ref="B639">IFERROR(INDEX(comb_notes_inkind[[#This Row],[Empty line]:[No organisation name]],1,MATCH(TRUE,LEN(comb_notes_inkind[[#This Row],[Empty line]:[No organisation name]])&gt;0,0)),"")</f>
        <v/>
      </c>
      <c r="C639" s="113" t="str">
        <f>IFERROR(IF(AND(LEN(INDEX(#REF!,$A639))+LEN(INDEX(#REF!,$A639))+LEN(INDEX(#REF!,$A639))+LEN(INDEX(#REF!,$A639))&gt;0,LEN(INDEX(#REF!,$A639-1))+LEN(INDEX(#REF!,$A639-1))+LEN(INDEX(#REF!,$A639-1))+LEN(INDEX(#REF!,$A639-1))=0),$B$127,""),"")</f>
        <v/>
      </c>
      <c r="D639" s="113" t="e">
        <f>IF(AND(INDEX(#REF!,$A639)&gt;0,LEN(INDEX(#REF!,$A639))=0,cofunding_inkind_def_rates="yes"),$B$183,"")</f>
        <v>#REF!</v>
      </c>
      <c r="E639" s="113" t="e">
        <f>IF(AND(INDEX(#REF!,$A639)&gt;0,LEN(INDEX(#REF!,$A639))=0,cofunding_inkind_def_rates="yes"),$B$183,"")</f>
        <v>#REF!</v>
      </c>
      <c r="F639" s="113" t="e">
        <f>IF(AND(INDEX(#REF!,$A639)="Junior",INDEX(#REF!,$A639)&gt;cofunding_junior_rate),$B$186,IF(AND(INDEX(#REF!,$A639)="Senior",INDEX(#REF!,$A639)&gt;cofunding_senior_rate),$B$187,""))</f>
        <v>#REF!</v>
      </c>
      <c r="G639" s="113" t="e">
        <f>IF(AND(INDEX(#REF!,$A639)="Materials",LEN(INDEX(#REF!,$A639))&gt;0),$B$184,"")</f>
        <v>#REF!</v>
      </c>
      <c r="H639" s="113" t="e">
        <f>IF(AND(INDEX(#REF!,$A639)&gt;0,LEN(INDEX(#REF!,$A639))=0),$B$175,"")</f>
        <v>#REF!</v>
      </c>
      <c r="I639" s="113" t="e">
        <f>IF(AND(INDEX(#REF!,$A639)&gt;0,LEN(INDEX(#REF!,$A639))=0),$B$176,"")</f>
        <v>#REF!</v>
      </c>
    </row>
    <row r="640" spans="1:9" ht="12" customHeight="1" x14ac:dyDescent="0.35">
      <c r="A640" s="256">
        <v>18</v>
      </c>
      <c r="B640" s="113" t="str">
        <f t="array" ref="B640">IFERROR(INDEX(comb_notes_inkind[[#This Row],[Empty line]:[No organisation name]],1,MATCH(TRUE,LEN(comb_notes_inkind[[#This Row],[Empty line]:[No organisation name]])&gt;0,0)),"")</f>
        <v/>
      </c>
      <c r="C640" s="113" t="str">
        <f>IFERROR(IF(AND(LEN(INDEX(#REF!,$A640))+LEN(INDEX(#REF!,$A640))+LEN(INDEX(#REF!,$A640))+LEN(INDEX(#REF!,$A640))&gt;0,LEN(INDEX(#REF!,$A640-1))+LEN(INDEX(#REF!,$A640-1))+LEN(INDEX(#REF!,$A640-1))+LEN(INDEX(#REF!,$A640-1))=0),$B$127,""),"")</f>
        <v/>
      </c>
      <c r="D640" s="113" t="e">
        <f>IF(AND(INDEX(#REF!,$A640)&gt;0,LEN(INDEX(#REF!,$A640))=0,cofunding_inkind_def_rates="yes"),$B$183,"")</f>
        <v>#REF!</v>
      </c>
      <c r="E640" s="113" t="e">
        <f>IF(AND(INDEX(#REF!,$A640)&gt;0,LEN(INDEX(#REF!,$A640))=0,cofunding_inkind_def_rates="yes"),$B$183,"")</f>
        <v>#REF!</v>
      </c>
      <c r="F640" s="113" t="e">
        <f>IF(AND(INDEX(#REF!,$A640)="Junior",INDEX(#REF!,$A640)&gt;cofunding_junior_rate),$B$186,IF(AND(INDEX(#REF!,$A640)="Senior",INDEX(#REF!,$A640)&gt;cofunding_senior_rate),$B$187,""))</f>
        <v>#REF!</v>
      </c>
      <c r="G640" s="113" t="e">
        <f>IF(AND(INDEX(#REF!,$A640)="Materials",LEN(INDEX(#REF!,$A640))&gt;0),$B$184,"")</f>
        <v>#REF!</v>
      </c>
      <c r="H640" s="113" t="e">
        <f>IF(AND(INDEX(#REF!,$A640)&gt;0,LEN(INDEX(#REF!,$A640))=0),$B$175,"")</f>
        <v>#REF!</v>
      </c>
      <c r="I640" s="113" t="e">
        <f>IF(AND(INDEX(#REF!,$A640)&gt;0,LEN(INDEX(#REF!,$A640))=0),$B$176,"")</f>
        <v>#REF!</v>
      </c>
    </row>
    <row r="641" spans="1:9" ht="12" customHeight="1" x14ac:dyDescent="0.35">
      <c r="A641" s="256">
        <v>19</v>
      </c>
      <c r="B641" s="113" t="str">
        <f t="array" ref="B641">IFERROR(INDEX(comb_notes_inkind[[#This Row],[Empty line]:[No organisation name]],1,MATCH(TRUE,LEN(comb_notes_inkind[[#This Row],[Empty line]:[No organisation name]])&gt;0,0)),"")</f>
        <v/>
      </c>
      <c r="C641" s="113" t="str">
        <f>IFERROR(IF(AND(LEN(INDEX(#REF!,$A641))+LEN(INDEX(#REF!,$A641))+LEN(INDEX(#REF!,$A641))+LEN(INDEX(#REF!,$A641))&gt;0,LEN(INDEX(#REF!,$A641-1))+LEN(INDEX(#REF!,$A641-1))+LEN(INDEX(#REF!,$A641-1))+LEN(INDEX(#REF!,$A641-1))=0),$B$127,""),"")</f>
        <v/>
      </c>
      <c r="D641" s="113" t="e">
        <f>IF(AND(INDEX(#REF!,$A641)&gt;0,LEN(INDEX(#REF!,$A641))=0,cofunding_inkind_def_rates="yes"),$B$183,"")</f>
        <v>#REF!</v>
      </c>
      <c r="E641" s="113" t="e">
        <f>IF(AND(INDEX(#REF!,$A641)&gt;0,LEN(INDEX(#REF!,$A641))=0,cofunding_inkind_def_rates="yes"),$B$183,"")</f>
        <v>#REF!</v>
      </c>
      <c r="F641" s="113" t="e">
        <f>IF(AND(INDEX(#REF!,$A641)="Junior",INDEX(#REF!,$A641)&gt;cofunding_junior_rate),$B$186,IF(AND(INDEX(#REF!,$A641)="Senior",INDEX(#REF!,$A641)&gt;cofunding_senior_rate),$B$187,""))</f>
        <v>#REF!</v>
      </c>
      <c r="G641" s="113" t="e">
        <f>IF(AND(INDEX(#REF!,$A641)="Materials",LEN(INDEX(#REF!,$A641))&gt;0),$B$184,"")</f>
        <v>#REF!</v>
      </c>
      <c r="H641" s="113" t="e">
        <f>IF(AND(INDEX(#REF!,$A641)&gt;0,LEN(INDEX(#REF!,$A641))=0),$B$175,"")</f>
        <v>#REF!</v>
      </c>
      <c r="I641" s="113" t="e">
        <f>IF(AND(INDEX(#REF!,$A641)&gt;0,LEN(INDEX(#REF!,$A641))=0),$B$176,"")</f>
        <v>#REF!</v>
      </c>
    </row>
    <row r="642" spans="1:9" ht="12" customHeight="1" x14ac:dyDescent="0.35">
      <c r="A642" s="256">
        <v>20</v>
      </c>
      <c r="B642" s="113" t="str">
        <f t="array" ref="B642">IFERROR(INDEX(comb_notes_inkind[[#This Row],[Empty line]:[No organisation name]],1,MATCH(TRUE,LEN(comb_notes_inkind[[#This Row],[Empty line]:[No organisation name]])&gt;0,0)),"")</f>
        <v/>
      </c>
      <c r="C642" s="113" t="str">
        <f>IFERROR(IF(AND(LEN(INDEX(#REF!,$A642))+LEN(INDEX(#REF!,$A642))+LEN(INDEX(#REF!,$A642))+LEN(INDEX(#REF!,$A642))&gt;0,LEN(INDEX(#REF!,$A642-1))+LEN(INDEX(#REF!,$A642-1))+LEN(INDEX(#REF!,$A642-1))+LEN(INDEX(#REF!,$A642-1))=0),$B$127,""),"")</f>
        <v/>
      </c>
      <c r="D642" s="113" t="e">
        <f>IF(AND(INDEX(#REF!,$A642)&gt;0,LEN(INDEX(#REF!,$A642))=0,cofunding_inkind_def_rates="yes"),$B$183,"")</f>
        <v>#REF!</v>
      </c>
      <c r="E642" s="113" t="e">
        <f>IF(AND(INDEX(#REF!,$A642)&gt;0,LEN(INDEX(#REF!,$A642))=0,cofunding_inkind_def_rates="yes"),$B$183,"")</f>
        <v>#REF!</v>
      </c>
      <c r="F642" s="113" t="e">
        <f>IF(AND(INDEX(#REF!,$A642)="Junior",INDEX(#REF!,$A642)&gt;cofunding_junior_rate),$B$186,IF(AND(INDEX(#REF!,$A642)="Senior",INDEX(#REF!,$A642)&gt;cofunding_senior_rate),$B$187,""))</f>
        <v>#REF!</v>
      </c>
      <c r="G642" s="113" t="e">
        <f>IF(AND(INDEX(#REF!,$A642)="Materials",LEN(INDEX(#REF!,$A642))&gt;0),$B$184,"")</f>
        <v>#REF!</v>
      </c>
      <c r="H642" s="113" t="e">
        <f>IF(AND(INDEX(#REF!,$A642)&gt;0,LEN(INDEX(#REF!,$A642))=0),$B$175,"")</f>
        <v>#REF!</v>
      </c>
      <c r="I642" s="113" t="e">
        <f>IF(AND(INDEX(#REF!,$A642)&gt;0,LEN(INDEX(#REF!,$A642))=0),$B$176,"")</f>
        <v>#REF!</v>
      </c>
    </row>
    <row r="643" spans="1:9" ht="12" customHeight="1" x14ac:dyDescent="0.35">
      <c r="A643" s="256">
        <v>21</v>
      </c>
      <c r="B643" s="113" t="str">
        <f t="array" ref="B643">IFERROR(INDEX(comb_notes_inkind[[#This Row],[Empty line]:[No organisation name]],1,MATCH(TRUE,LEN(comb_notes_inkind[[#This Row],[Empty line]:[No organisation name]])&gt;0,0)),"")</f>
        <v/>
      </c>
      <c r="C643" s="113" t="str">
        <f>IFERROR(IF(AND(LEN(INDEX(#REF!,$A643))+LEN(INDEX(#REF!,$A643))+LEN(INDEX(#REF!,$A643))+LEN(INDEX(#REF!,$A643))&gt;0,LEN(INDEX(#REF!,$A643-1))+LEN(INDEX(#REF!,$A643-1))+LEN(INDEX(#REF!,$A643-1))+LEN(INDEX(#REF!,$A643-1))=0),$B$127,""),"")</f>
        <v/>
      </c>
      <c r="D643" s="113" t="e">
        <f>IF(AND(INDEX(#REF!,$A643)&gt;0,LEN(INDEX(#REF!,$A643))=0,cofunding_inkind_def_rates="yes"),$B$183,"")</f>
        <v>#REF!</v>
      </c>
      <c r="E643" s="113" t="e">
        <f>IF(AND(INDEX(#REF!,$A643)&gt;0,LEN(INDEX(#REF!,$A643))=0,cofunding_inkind_def_rates="yes"),$B$183,"")</f>
        <v>#REF!</v>
      </c>
      <c r="F643" s="113" t="e">
        <f>IF(AND(INDEX(#REF!,$A643)="Junior",INDEX(#REF!,$A643)&gt;cofunding_junior_rate),$B$186,IF(AND(INDEX(#REF!,$A643)="Senior",INDEX(#REF!,$A643)&gt;cofunding_senior_rate),$B$187,""))</f>
        <v>#REF!</v>
      </c>
      <c r="G643" s="113" t="e">
        <f>IF(AND(INDEX(#REF!,$A643)="Materials",LEN(INDEX(#REF!,$A643))&gt;0),$B$184,"")</f>
        <v>#REF!</v>
      </c>
      <c r="H643" s="113" t="e">
        <f>IF(AND(INDEX(#REF!,$A643)&gt;0,LEN(INDEX(#REF!,$A643))=0),$B$175,"")</f>
        <v>#REF!</v>
      </c>
      <c r="I643" s="113" t="e">
        <f>IF(AND(INDEX(#REF!,$A643)&gt;0,LEN(INDEX(#REF!,$A643))=0),$B$176,"")</f>
        <v>#REF!</v>
      </c>
    </row>
    <row r="644" spans="1:9" ht="12" customHeight="1" x14ac:dyDescent="0.35">
      <c r="A644" s="256">
        <v>22</v>
      </c>
      <c r="B644" s="113" t="str">
        <f t="array" ref="B644">IFERROR(INDEX(comb_notes_inkind[[#This Row],[Empty line]:[No organisation name]],1,MATCH(TRUE,LEN(comb_notes_inkind[[#This Row],[Empty line]:[No organisation name]])&gt;0,0)),"")</f>
        <v/>
      </c>
      <c r="C644" s="113" t="str">
        <f>IFERROR(IF(AND(LEN(INDEX(#REF!,$A644))+LEN(INDEX(#REF!,$A644))+LEN(INDEX(#REF!,$A644))+LEN(INDEX(#REF!,$A644))&gt;0,LEN(INDEX(#REF!,$A644-1))+LEN(INDEX(#REF!,$A644-1))+LEN(INDEX(#REF!,$A644-1))+LEN(INDEX(#REF!,$A644-1))=0),$B$127,""),"")</f>
        <v/>
      </c>
      <c r="D644" s="113" t="e">
        <f>IF(AND(INDEX(#REF!,$A644)&gt;0,LEN(INDEX(#REF!,$A644))=0,cofunding_inkind_def_rates="yes"),$B$183,"")</f>
        <v>#REF!</v>
      </c>
      <c r="E644" s="113" t="e">
        <f>IF(AND(INDEX(#REF!,$A644)&gt;0,LEN(INDEX(#REF!,$A644))=0,cofunding_inkind_def_rates="yes"),$B$183,"")</f>
        <v>#REF!</v>
      </c>
      <c r="F644" s="113" t="e">
        <f>IF(AND(INDEX(#REF!,$A644)="Junior",INDEX(#REF!,$A644)&gt;cofunding_junior_rate),$B$186,IF(AND(INDEX(#REF!,$A644)="Senior",INDEX(#REF!,$A644)&gt;cofunding_senior_rate),$B$187,""))</f>
        <v>#REF!</v>
      </c>
      <c r="G644" s="113" t="e">
        <f>IF(AND(INDEX(#REF!,$A644)="Materials",LEN(INDEX(#REF!,$A644))&gt;0),$B$184,"")</f>
        <v>#REF!</v>
      </c>
      <c r="H644" s="113" t="e">
        <f>IF(AND(INDEX(#REF!,$A644)&gt;0,LEN(INDEX(#REF!,$A644))=0),$B$175,"")</f>
        <v>#REF!</v>
      </c>
      <c r="I644" s="113" t="e">
        <f>IF(AND(INDEX(#REF!,$A644)&gt;0,LEN(INDEX(#REF!,$A644))=0),$B$176,"")</f>
        <v>#REF!</v>
      </c>
    </row>
    <row r="645" spans="1:9" ht="12" customHeight="1" x14ac:dyDescent="0.35">
      <c r="A645" s="256">
        <v>23</v>
      </c>
      <c r="B645" s="113" t="str">
        <f t="array" ref="B645">IFERROR(INDEX(comb_notes_inkind[[#This Row],[Empty line]:[No organisation name]],1,MATCH(TRUE,LEN(comb_notes_inkind[[#This Row],[Empty line]:[No organisation name]])&gt;0,0)),"")</f>
        <v/>
      </c>
      <c r="C645" s="113" t="str">
        <f>IFERROR(IF(AND(LEN(INDEX(#REF!,$A645))+LEN(INDEX(#REF!,$A645))+LEN(INDEX(#REF!,$A645))+LEN(INDEX(#REF!,$A645))&gt;0,LEN(INDEX(#REF!,$A645-1))+LEN(INDEX(#REF!,$A645-1))+LEN(INDEX(#REF!,$A645-1))+LEN(INDEX(#REF!,$A645-1))=0),$B$127,""),"")</f>
        <v/>
      </c>
      <c r="D645" s="113" t="e">
        <f>IF(AND(INDEX(#REF!,$A645)&gt;0,LEN(INDEX(#REF!,$A645))=0,cofunding_inkind_def_rates="yes"),$B$183,"")</f>
        <v>#REF!</v>
      </c>
      <c r="E645" s="113" t="e">
        <f>IF(AND(INDEX(#REF!,$A645)&gt;0,LEN(INDEX(#REF!,$A645))=0,cofunding_inkind_def_rates="yes"),$B$183,"")</f>
        <v>#REF!</v>
      </c>
      <c r="F645" s="113" t="e">
        <f>IF(AND(INDEX(#REF!,$A645)="Junior",INDEX(#REF!,$A645)&gt;cofunding_junior_rate),$B$186,IF(AND(INDEX(#REF!,$A645)="Senior",INDEX(#REF!,$A645)&gt;cofunding_senior_rate),$B$187,""))</f>
        <v>#REF!</v>
      </c>
      <c r="G645" s="113" t="e">
        <f>IF(AND(INDEX(#REF!,$A645)="Materials",LEN(INDEX(#REF!,$A645))&gt;0),$B$184,"")</f>
        <v>#REF!</v>
      </c>
      <c r="H645" s="113" t="e">
        <f>IF(AND(INDEX(#REF!,$A645)&gt;0,LEN(INDEX(#REF!,$A645))=0),$B$175,"")</f>
        <v>#REF!</v>
      </c>
      <c r="I645" s="113" t="e">
        <f>IF(AND(INDEX(#REF!,$A645)&gt;0,LEN(INDEX(#REF!,$A645))=0),$B$176,"")</f>
        <v>#REF!</v>
      </c>
    </row>
    <row r="646" spans="1:9" ht="12" customHeight="1" x14ac:dyDescent="0.35">
      <c r="A646" s="256">
        <v>24</v>
      </c>
      <c r="B646" s="113" t="str">
        <f t="array" ref="B646">IFERROR(INDEX(comb_notes_inkind[[#This Row],[Empty line]:[No organisation name]],1,MATCH(TRUE,LEN(comb_notes_inkind[[#This Row],[Empty line]:[No organisation name]])&gt;0,0)),"")</f>
        <v/>
      </c>
      <c r="C646" s="113" t="str">
        <f>IFERROR(IF(AND(LEN(INDEX(#REF!,$A646))+LEN(INDEX(#REF!,$A646))+LEN(INDEX(#REF!,$A646))+LEN(INDEX(#REF!,$A646))&gt;0,LEN(INDEX(#REF!,$A646-1))+LEN(INDEX(#REF!,$A646-1))+LEN(INDEX(#REF!,$A646-1))+LEN(INDEX(#REF!,$A646-1))=0),$B$127,""),"")</f>
        <v/>
      </c>
      <c r="D646" s="113" t="e">
        <f>IF(AND(INDEX(#REF!,$A646)&gt;0,LEN(INDEX(#REF!,$A646))=0,cofunding_inkind_def_rates="yes"),$B$183,"")</f>
        <v>#REF!</v>
      </c>
      <c r="E646" s="113" t="e">
        <f>IF(AND(INDEX(#REF!,$A646)&gt;0,LEN(INDEX(#REF!,$A646))=0,cofunding_inkind_def_rates="yes"),$B$183,"")</f>
        <v>#REF!</v>
      </c>
      <c r="F646" s="113" t="e">
        <f>IF(AND(INDEX(#REF!,$A646)="Junior",INDEX(#REF!,$A646)&gt;cofunding_junior_rate),$B$186,IF(AND(INDEX(#REF!,$A646)="Senior",INDEX(#REF!,$A646)&gt;cofunding_senior_rate),$B$187,""))</f>
        <v>#REF!</v>
      </c>
      <c r="G646" s="113" t="e">
        <f>IF(AND(INDEX(#REF!,$A646)="Materials",LEN(INDEX(#REF!,$A646))&gt;0),$B$184,"")</f>
        <v>#REF!</v>
      </c>
      <c r="H646" s="113" t="e">
        <f>IF(AND(INDEX(#REF!,$A646)&gt;0,LEN(INDEX(#REF!,$A646))=0),$B$175,"")</f>
        <v>#REF!</v>
      </c>
      <c r="I646" s="113" t="e">
        <f>IF(AND(INDEX(#REF!,$A646)&gt;0,LEN(INDEX(#REF!,$A646))=0),$B$176,"")</f>
        <v>#REF!</v>
      </c>
    </row>
    <row r="647" spans="1:9" ht="12" customHeight="1" x14ac:dyDescent="0.35">
      <c r="A647" s="256">
        <v>25</v>
      </c>
      <c r="B647" s="113" t="str">
        <f t="array" ref="B647">IFERROR(INDEX(comb_notes_inkind[[#This Row],[Empty line]:[No organisation name]],1,MATCH(TRUE,LEN(comb_notes_inkind[[#This Row],[Empty line]:[No organisation name]])&gt;0,0)),"")</f>
        <v/>
      </c>
      <c r="C647" s="113" t="str">
        <f>IFERROR(IF(AND(LEN(INDEX(#REF!,$A647))+LEN(INDEX(#REF!,$A647))+LEN(INDEX(#REF!,$A647))+LEN(INDEX(#REF!,$A647))&gt;0,LEN(INDEX(#REF!,$A647-1))+LEN(INDEX(#REF!,$A647-1))+LEN(INDEX(#REF!,$A647-1))+LEN(INDEX(#REF!,$A647-1))=0),$B$127,""),"")</f>
        <v/>
      </c>
      <c r="D647" s="113" t="e">
        <f>IF(AND(INDEX(#REF!,$A647)&gt;0,LEN(INDEX(#REF!,$A647))=0,cofunding_inkind_def_rates="yes"),$B$183,"")</f>
        <v>#REF!</v>
      </c>
      <c r="E647" s="113" t="e">
        <f>IF(AND(INDEX(#REF!,$A647)&gt;0,LEN(INDEX(#REF!,$A647))=0,cofunding_inkind_def_rates="yes"),$B$183,"")</f>
        <v>#REF!</v>
      </c>
      <c r="F647" s="113" t="e">
        <f>IF(AND(INDEX(#REF!,$A647)="Junior",INDEX(#REF!,$A647)&gt;cofunding_junior_rate),$B$186,IF(AND(INDEX(#REF!,$A647)="Senior",INDEX(#REF!,$A647)&gt;cofunding_senior_rate),$B$187,""))</f>
        <v>#REF!</v>
      </c>
      <c r="G647" s="113" t="e">
        <f>IF(AND(INDEX(#REF!,$A647)="Materials",LEN(INDEX(#REF!,$A647))&gt;0),$B$184,"")</f>
        <v>#REF!</v>
      </c>
      <c r="H647" s="113" t="e">
        <f>IF(AND(INDEX(#REF!,$A647)&gt;0,LEN(INDEX(#REF!,$A647))=0),$B$175,"")</f>
        <v>#REF!</v>
      </c>
      <c r="I647" s="113" t="e">
        <f>IF(AND(INDEX(#REF!,$A647)&gt;0,LEN(INDEX(#REF!,$A647))=0),$B$176,"")</f>
        <v>#REF!</v>
      </c>
    </row>
    <row r="648" spans="1:9" ht="12" customHeight="1" x14ac:dyDescent="0.35">
      <c r="A648" s="256">
        <v>26</v>
      </c>
      <c r="B648" s="113" t="str">
        <f t="array" ref="B648">IFERROR(INDEX(comb_notes_inkind[[#This Row],[Empty line]:[No organisation name]],1,MATCH(TRUE,LEN(comb_notes_inkind[[#This Row],[Empty line]:[No organisation name]])&gt;0,0)),"")</f>
        <v/>
      </c>
      <c r="C648" s="113" t="str">
        <f>IFERROR(IF(AND(LEN(INDEX(#REF!,$A648))+LEN(INDEX(#REF!,$A648))+LEN(INDEX(#REF!,$A648))+LEN(INDEX(#REF!,$A648))&gt;0,LEN(INDEX(#REF!,$A648-1))+LEN(INDEX(#REF!,$A648-1))+LEN(INDEX(#REF!,$A648-1))+LEN(INDEX(#REF!,$A648-1))=0),$B$127,""),"")</f>
        <v/>
      </c>
      <c r="D648" s="113" t="e">
        <f>IF(AND(INDEX(#REF!,$A648)&gt;0,LEN(INDEX(#REF!,$A648))=0,cofunding_inkind_def_rates="yes"),$B$183,"")</f>
        <v>#REF!</v>
      </c>
      <c r="E648" s="113" t="e">
        <f>IF(AND(INDEX(#REF!,$A648)&gt;0,LEN(INDEX(#REF!,$A648))=0,cofunding_inkind_def_rates="yes"),$B$183,"")</f>
        <v>#REF!</v>
      </c>
      <c r="F648" s="113" t="e">
        <f>IF(AND(INDEX(#REF!,$A648)="Junior",INDEX(#REF!,$A648)&gt;cofunding_junior_rate),$B$186,IF(AND(INDEX(#REF!,$A648)="Senior",INDEX(#REF!,$A648)&gt;cofunding_senior_rate),$B$187,""))</f>
        <v>#REF!</v>
      </c>
      <c r="G648" s="113" t="e">
        <f>IF(AND(INDEX(#REF!,$A648)="Materials",LEN(INDEX(#REF!,$A648))&gt;0),$B$184,"")</f>
        <v>#REF!</v>
      </c>
      <c r="H648" s="113" t="e">
        <f>IF(AND(INDEX(#REF!,$A648)&gt;0,LEN(INDEX(#REF!,$A648))=0),$B$175,"")</f>
        <v>#REF!</v>
      </c>
      <c r="I648" s="113" t="e">
        <f>IF(AND(INDEX(#REF!,$A648)&gt;0,LEN(INDEX(#REF!,$A648))=0),$B$176,"")</f>
        <v>#REF!</v>
      </c>
    </row>
    <row r="649" spans="1:9" ht="12" customHeight="1" x14ac:dyDescent="0.35">
      <c r="A649" s="256">
        <v>27</v>
      </c>
      <c r="B649" s="113" t="str">
        <f t="array" ref="B649">IFERROR(INDEX(comb_notes_inkind[[#This Row],[Empty line]:[No organisation name]],1,MATCH(TRUE,LEN(comb_notes_inkind[[#This Row],[Empty line]:[No organisation name]])&gt;0,0)),"")</f>
        <v/>
      </c>
      <c r="C649" s="113" t="str">
        <f>IFERROR(IF(AND(LEN(INDEX(#REF!,$A649))+LEN(INDEX(#REF!,$A649))+LEN(INDEX(#REF!,$A649))+LEN(INDEX(#REF!,$A649))&gt;0,LEN(INDEX(#REF!,$A649-1))+LEN(INDEX(#REF!,$A649-1))+LEN(INDEX(#REF!,$A649-1))+LEN(INDEX(#REF!,$A649-1))=0),$B$127,""),"")</f>
        <v/>
      </c>
      <c r="D649" s="113" t="e">
        <f>IF(AND(INDEX(#REF!,$A649)&gt;0,LEN(INDEX(#REF!,$A649))=0,cofunding_inkind_def_rates="yes"),$B$183,"")</f>
        <v>#REF!</v>
      </c>
      <c r="E649" s="113" t="e">
        <f>IF(AND(INDEX(#REF!,$A649)&gt;0,LEN(INDEX(#REF!,$A649))=0,cofunding_inkind_def_rates="yes"),$B$183,"")</f>
        <v>#REF!</v>
      </c>
      <c r="F649" s="113" t="e">
        <f>IF(AND(INDEX(#REF!,$A649)="Junior",INDEX(#REF!,$A649)&gt;cofunding_junior_rate),$B$186,IF(AND(INDEX(#REF!,$A649)="Senior",INDEX(#REF!,$A649)&gt;cofunding_senior_rate),$B$187,""))</f>
        <v>#REF!</v>
      </c>
      <c r="G649" s="113" t="e">
        <f>IF(AND(INDEX(#REF!,$A649)="Materials",LEN(INDEX(#REF!,$A649))&gt;0),$B$184,"")</f>
        <v>#REF!</v>
      </c>
      <c r="H649" s="113" t="e">
        <f>IF(AND(INDEX(#REF!,$A649)&gt;0,LEN(INDEX(#REF!,$A649))=0),$B$175,"")</f>
        <v>#REF!</v>
      </c>
      <c r="I649" s="113" t="e">
        <f>IF(AND(INDEX(#REF!,$A649)&gt;0,LEN(INDEX(#REF!,$A649))=0),$B$176,"")</f>
        <v>#REF!</v>
      </c>
    </row>
    <row r="650" spans="1:9" ht="12" customHeight="1" x14ac:dyDescent="0.35">
      <c r="A650" s="256">
        <v>28</v>
      </c>
      <c r="B650" s="113" t="str">
        <f t="array" ref="B650">IFERROR(INDEX(comb_notes_inkind[[#This Row],[Empty line]:[No organisation name]],1,MATCH(TRUE,LEN(comb_notes_inkind[[#This Row],[Empty line]:[No organisation name]])&gt;0,0)),"")</f>
        <v/>
      </c>
      <c r="C650" s="113" t="str">
        <f>IFERROR(IF(AND(LEN(INDEX(#REF!,$A650))+LEN(INDEX(#REF!,$A650))+LEN(INDEX(#REF!,$A650))+LEN(INDEX(#REF!,$A650))&gt;0,LEN(INDEX(#REF!,$A650-1))+LEN(INDEX(#REF!,$A650-1))+LEN(INDEX(#REF!,$A650-1))+LEN(INDEX(#REF!,$A650-1))=0),$B$127,""),"")</f>
        <v/>
      </c>
      <c r="D650" s="113" t="e">
        <f>IF(AND(INDEX(#REF!,$A650)&gt;0,LEN(INDEX(#REF!,$A650))=0,cofunding_inkind_def_rates="yes"),$B$183,"")</f>
        <v>#REF!</v>
      </c>
      <c r="E650" s="113" t="e">
        <f>IF(AND(INDEX(#REF!,$A650)&gt;0,LEN(INDEX(#REF!,$A650))=0,cofunding_inkind_def_rates="yes"),$B$183,"")</f>
        <v>#REF!</v>
      </c>
      <c r="F650" s="113" t="e">
        <f>IF(AND(INDEX(#REF!,$A650)="Junior",INDEX(#REF!,$A650)&gt;cofunding_junior_rate),$B$186,IF(AND(INDEX(#REF!,$A650)="Senior",INDEX(#REF!,$A650)&gt;cofunding_senior_rate),$B$187,""))</f>
        <v>#REF!</v>
      </c>
      <c r="G650" s="113" t="e">
        <f>IF(AND(INDEX(#REF!,$A650)="Materials",LEN(INDEX(#REF!,$A650))&gt;0),$B$184,"")</f>
        <v>#REF!</v>
      </c>
      <c r="H650" s="113" t="e">
        <f>IF(AND(INDEX(#REF!,$A650)&gt;0,LEN(INDEX(#REF!,$A650))=0),$B$175,"")</f>
        <v>#REF!</v>
      </c>
      <c r="I650" s="113" t="e">
        <f>IF(AND(INDEX(#REF!,$A650)&gt;0,LEN(INDEX(#REF!,$A650))=0),$B$176,"")</f>
        <v>#REF!</v>
      </c>
    </row>
    <row r="651" spans="1:9" ht="12" customHeight="1" x14ac:dyDescent="0.35">
      <c r="A651" s="256">
        <v>29</v>
      </c>
      <c r="B651" s="113" t="str">
        <f t="array" ref="B651">IFERROR(INDEX(comb_notes_inkind[[#This Row],[Empty line]:[No organisation name]],1,MATCH(TRUE,LEN(comb_notes_inkind[[#This Row],[Empty line]:[No organisation name]])&gt;0,0)),"")</f>
        <v/>
      </c>
      <c r="C651" s="113" t="str">
        <f>IFERROR(IF(AND(LEN(INDEX(#REF!,$A651))+LEN(INDEX(#REF!,$A651))+LEN(INDEX(#REF!,$A651))+LEN(INDEX(#REF!,$A651))&gt;0,LEN(INDEX(#REF!,$A651-1))+LEN(INDEX(#REF!,$A651-1))+LEN(INDEX(#REF!,$A651-1))+LEN(INDEX(#REF!,$A651-1))=0),$B$127,""),"")</f>
        <v/>
      </c>
      <c r="D651" s="113" t="e">
        <f>IF(AND(INDEX(#REF!,$A651)&gt;0,LEN(INDEX(#REF!,$A651))=0,cofunding_inkind_def_rates="yes"),$B$183,"")</f>
        <v>#REF!</v>
      </c>
      <c r="E651" s="113" t="e">
        <f>IF(AND(INDEX(#REF!,$A651)&gt;0,LEN(INDEX(#REF!,$A651))=0,cofunding_inkind_def_rates="yes"),$B$183,"")</f>
        <v>#REF!</v>
      </c>
      <c r="F651" s="113" t="e">
        <f>IF(AND(INDEX(#REF!,$A651)="Junior",INDEX(#REF!,$A651)&gt;cofunding_junior_rate),$B$186,IF(AND(INDEX(#REF!,$A651)="Senior",INDEX(#REF!,$A651)&gt;cofunding_senior_rate),$B$187,""))</f>
        <v>#REF!</v>
      </c>
      <c r="G651" s="113" t="e">
        <f>IF(AND(INDEX(#REF!,$A651)="Materials",LEN(INDEX(#REF!,$A651))&gt;0),$B$184,"")</f>
        <v>#REF!</v>
      </c>
      <c r="H651" s="113" t="e">
        <f>IF(AND(INDEX(#REF!,$A651)&gt;0,LEN(INDEX(#REF!,$A651))=0),$B$175,"")</f>
        <v>#REF!</v>
      </c>
      <c r="I651" s="113" t="e">
        <f>IF(AND(INDEX(#REF!,$A651)&gt;0,LEN(INDEX(#REF!,$A651))=0),$B$176,"")</f>
        <v>#REF!</v>
      </c>
    </row>
    <row r="652" spans="1:9" ht="12" customHeight="1" x14ac:dyDescent="0.35">
      <c r="A652" s="256">
        <v>30</v>
      </c>
      <c r="B652" s="113" t="str">
        <f t="array" ref="B652">IFERROR(INDEX(comb_notes_inkind[[#This Row],[Empty line]:[No organisation name]],1,MATCH(TRUE,LEN(comb_notes_inkind[[#This Row],[Empty line]:[No organisation name]])&gt;0,0)),"")</f>
        <v/>
      </c>
      <c r="C652" s="113" t="str">
        <f>IFERROR(IF(AND(LEN(INDEX(#REF!,$A652))+LEN(INDEX(#REF!,$A652))+LEN(INDEX(#REF!,$A652))+LEN(INDEX(#REF!,$A652))&gt;0,LEN(INDEX(#REF!,$A652-1))+LEN(INDEX(#REF!,$A652-1))+LEN(INDEX(#REF!,$A652-1))+LEN(INDEX(#REF!,$A652-1))=0),$B$127,""),"")</f>
        <v/>
      </c>
      <c r="D652" s="113" t="e">
        <f>IF(AND(INDEX(#REF!,$A652)&gt;0,LEN(INDEX(#REF!,$A652))=0,cofunding_inkind_def_rates="yes"),$B$183,"")</f>
        <v>#REF!</v>
      </c>
      <c r="E652" s="113" t="e">
        <f>IF(AND(INDEX(#REF!,$A652)&gt;0,LEN(INDEX(#REF!,$A652))=0,cofunding_inkind_def_rates="yes"),$B$183,"")</f>
        <v>#REF!</v>
      </c>
      <c r="F652" s="113" t="e">
        <f>IF(AND(INDEX(#REF!,$A652)="Junior",INDEX(#REF!,$A652)&gt;cofunding_junior_rate),$B$186,IF(AND(INDEX(#REF!,$A652)="Senior",INDEX(#REF!,$A652)&gt;cofunding_senior_rate),$B$187,""))</f>
        <v>#REF!</v>
      </c>
      <c r="G652" s="113" t="e">
        <f>IF(AND(INDEX(#REF!,$A652)="Materials",LEN(INDEX(#REF!,$A652))&gt;0),$B$184,"")</f>
        <v>#REF!</v>
      </c>
      <c r="H652" s="113" t="e">
        <f>IF(AND(INDEX(#REF!,$A652)&gt;0,LEN(INDEX(#REF!,$A652))=0),$B$175,"")</f>
        <v>#REF!</v>
      </c>
      <c r="I652" s="113" t="e">
        <f>IF(AND(INDEX(#REF!,$A652)&gt;0,LEN(INDEX(#REF!,$A652))=0),$B$176,"")</f>
        <v>#REF!</v>
      </c>
    </row>
    <row r="653" spans="1:9" ht="12" customHeight="1" x14ac:dyDescent="0.35">
      <c r="A653" s="256">
        <v>31</v>
      </c>
      <c r="B653" s="113" t="str">
        <f t="array" ref="B653">IFERROR(INDEX(comb_notes_inkind[[#This Row],[Empty line]:[No organisation name]],1,MATCH(TRUE,LEN(comb_notes_inkind[[#This Row],[Empty line]:[No organisation name]])&gt;0,0)),"")</f>
        <v/>
      </c>
      <c r="C653" s="113" t="str">
        <f>IFERROR(IF(AND(LEN(INDEX(#REF!,$A653))+LEN(INDEX(#REF!,$A653))+LEN(INDEX(#REF!,$A653))+LEN(INDEX(#REF!,$A653))&gt;0,LEN(INDEX(#REF!,$A653-1))+LEN(INDEX(#REF!,$A653-1))+LEN(INDEX(#REF!,$A653-1))+LEN(INDEX(#REF!,$A653-1))=0),$B$127,""),"")</f>
        <v/>
      </c>
      <c r="D653" s="113" t="e">
        <f>IF(AND(INDEX(#REF!,$A653)&gt;0,LEN(INDEX(#REF!,$A653))=0,cofunding_inkind_def_rates="yes"),$B$183,"")</f>
        <v>#REF!</v>
      </c>
      <c r="E653" s="113" t="e">
        <f>IF(AND(INDEX(#REF!,$A653)&gt;0,LEN(INDEX(#REF!,$A653))=0,cofunding_inkind_def_rates="yes"),$B$183,"")</f>
        <v>#REF!</v>
      </c>
      <c r="F653" s="113" t="e">
        <f>IF(AND(INDEX(#REF!,$A653)="Junior",INDEX(#REF!,$A653)&gt;cofunding_junior_rate),$B$186,IF(AND(INDEX(#REF!,$A653)="Senior",INDEX(#REF!,$A653)&gt;cofunding_senior_rate),$B$187,""))</f>
        <v>#REF!</v>
      </c>
      <c r="G653" s="113" t="e">
        <f>IF(AND(INDEX(#REF!,$A653)="Materials",LEN(INDEX(#REF!,$A653))&gt;0),$B$184,"")</f>
        <v>#REF!</v>
      </c>
      <c r="H653" s="113" t="e">
        <f>IF(AND(INDEX(#REF!,$A653)&gt;0,LEN(INDEX(#REF!,$A653))=0),$B$175,"")</f>
        <v>#REF!</v>
      </c>
      <c r="I653" s="113" t="e">
        <f>IF(AND(INDEX(#REF!,$A653)&gt;0,LEN(INDEX(#REF!,$A653))=0),$B$176,"")</f>
        <v>#REF!</v>
      </c>
    </row>
    <row r="654" spans="1:9" ht="12" customHeight="1" x14ac:dyDescent="0.35">
      <c r="A654" s="256">
        <v>32</v>
      </c>
      <c r="B654" s="113" t="str">
        <f t="array" ref="B654">IFERROR(INDEX(comb_notes_inkind[[#This Row],[Empty line]:[No organisation name]],1,MATCH(TRUE,LEN(comb_notes_inkind[[#This Row],[Empty line]:[No organisation name]])&gt;0,0)),"")</f>
        <v/>
      </c>
      <c r="C654" s="113" t="str">
        <f>IFERROR(IF(AND(LEN(INDEX(#REF!,$A654))+LEN(INDEX(#REF!,$A654))+LEN(INDEX(#REF!,$A654))+LEN(INDEX(#REF!,$A654))&gt;0,LEN(INDEX(#REF!,$A654-1))+LEN(INDEX(#REF!,$A654-1))+LEN(INDEX(#REF!,$A654-1))+LEN(INDEX(#REF!,$A654-1))=0),$B$127,""),"")</f>
        <v/>
      </c>
      <c r="D654" s="113" t="e">
        <f>IF(AND(INDEX(#REF!,$A654)&gt;0,LEN(INDEX(#REF!,$A654))=0,cofunding_inkind_def_rates="yes"),$B$183,"")</f>
        <v>#REF!</v>
      </c>
      <c r="E654" s="113" t="e">
        <f>IF(AND(INDEX(#REF!,$A654)&gt;0,LEN(INDEX(#REF!,$A654))=0,cofunding_inkind_def_rates="yes"),$B$183,"")</f>
        <v>#REF!</v>
      </c>
      <c r="F654" s="113" t="e">
        <f>IF(AND(INDEX(#REF!,$A654)="Junior",INDEX(#REF!,$A654)&gt;cofunding_junior_rate),$B$186,IF(AND(INDEX(#REF!,$A654)="Senior",INDEX(#REF!,$A654)&gt;cofunding_senior_rate),$B$187,""))</f>
        <v>#REF!</v>
      </c>
      <c r="G654" s="113" t="e">
        <f>IF(AND(INDEX(#REF!,$A654)="Materials",LEN(INDEX(#REF!,$A654))&gt;0),$B$184,"")</f>
        <v>#REF!</v>
      </c>
      <c r="H654" s="113" t="e">
        <f>IF(AND(INDEX(#REF!,$A654)&gt;0,LEN(INDEX(#REF!,$A654))=0),$B$175,"")</f>
        <v>#REF!</v>
      </c>
      <c r="I654" s="113" t="e">
        <f>IF(AND(INDEX(#REF!,$A654)&gt;0,LEN(INDEX(#REF!,$A654))=0),$B$176,"")</f>
        <v>#REF!</v>
      </c>
    </row>
    <row r="655" spans="1:9" ht="12" customHeight="1" x14ac:dyDescent="0.35">
      <c r="A655" s="256">
        <v>33</v>
      </c>
      <c r="B655" s="113" t="str">
        <f t="array" ref="B655">IFERROR(INDEX(comb_notes_inkind[[#This Row],[Empty line]:[No organisation name]],1,MATCH(TRUE,LEN(comb_notes_inkind[[#This Row],[Empty line]:[No organisation name]])&gt;0,0)),"")</f>
        <v/>
      </c>
      <c r="C655" s="113" t="str">
        <f>IFERROR(IF(AND(LEN(INDEX(#REF!,$A655))+LEN(INDEX(#REF!,$A655))+LEN(INDEX(#REF!,$A655))+LEN(INDEX(#REF!,$A655))&gt;0,LEN(INDEX(#REF!,$A655-1))+LEN(INDEX(#REF!,$A655-1))+LEN(INDEX(#REF!,$A655-1))+LEN(INDEX(#REF!,$A655-1))=0),$B$127,""),"")</f>
        <v/>
      </c>
      <c r="D655" s="113" t="e">
        <f>IF(AND(INDEX(#REF!,$A655)&gt;0,LEN(INDEX(#REF!,$A655))=0,cofunding_inkind_def_rates="yes"),$B$183,"")</f>
        <v>#REF!</v>
      </c>
      <c r="E655" s="113" t="e">
        <f>IF(AND(INDEX(#REF!,$A655)&gt;0,LEN(INDEX(#REF!,$A655))=0,cofunding_inkind_def_rates="yes"),$B$183,"")</f>
        <v>#REF!</v>
      </c>
      <c r="F655" s="113" t="e">
        <f>IF(AND(INDEX(#REF!,$A655)="Junior",INDEX(#REF!,$A655)&gt;cofunding_junior_rate),$B$186,IF(AND(INDEX(#REF!,$A655)="Senior",INDEX(#REF!,$A655)&gt;cofunding_senior_rate),$B$187,""))</f>
        <v>#REF!</v>
      </c>
      <c r="G655" s="113" t="e">
        <f>IF(AND(INDEX(#REF!,$A655)="Materials",LEN(INDEX(#REF!,$A655))&gt;0),$B$184,"")</f>
        <v>#REF!</v>
      </c>
      <c r="H655" s="113" t="e">
        <f>IF(AND(INDEX(#REF!,$A655)&gt;0,LEN(INDEX(#REF!,$A655))=0),$B$175,"")</f>
        <v>#REF!</v>
      </c>
      <c r="I655" s="113" t="e">
        <f>IF(AND(INDEX(#REF!,$A655)&gt;0,LEN(INDEX(#REF!,$A655))=0),$B$176,"")</f>
        <v>#REF!</v>
      </c>
    </row>
    <row r="656" spans="1:9" ht="12" customHeight="1" x14ac:dyDescent="0.35">
      <c r="A656" s="256">
        <v>34</v>
      </c>
      <c r="B656" s="113" t="str">
        <f t="array" ref="B656">IFERROR(INDEX(comb_notes_inkind[[#This Row],[Empty line]:[No organisation name]],1,MATCH(TRUE,LEN(comb_notes_inkind[[#This Row],[Empty line]:[No organisation name]])&gt;0,0)),"")</f>
        <v/>
      </c>
      <c r="C656" s="113" t="str">
        <f>IFERROR(IF(AND(LEN(INDEX(#REF!,$A656))+LEN(INDEX(#REF!,$A656))+LEN(INDEX(#REF!,$A656))+LEN(INDEX(#REF!,$A656))&gt;0,LEN(INDEX(#REF!,$A656-1))+LEN(INDEX(#REF!,$A656-1))+LEN(INDEX(#REF!,$A656-1))+LEN(INDEX(#REF!,$A656-1))=0),$B$127,""),"")</f>
        <v/>
      </c>
      <c r="D656" s="113" t="e">
        <f>IF(AND(INDEX(#REF!,$A656)&gt;0,LEN(INDEX(#REF!,$A656))=0,cofunding_inkind_def_rates="yes"),$B$183,"")</f>
        <v>#REF!</v>
      </c>
      <c r="E656" s="113" t="e">
        <f>IF(AND(INDEX(#REF!,$A656)&gt;0,LEN(INDEX(#REF!,$A656))=0,cofunding_inkind_def_rates="yes"),$B$183,"")</f>
        <v>#REF!</v>
      </c>
      <c r="F656" s="113" t="e">
        <f>IF(AND(INDEX(#REF!,$A656)="Junior",INDEX(#REF!,$A656)&gt;cofunding_junior_rate),$B$186,IF(AND(INDEX(#REF!,$A656)="Senior",INDEX(#REF!,$A656)&gt;cofunding_senior_rate),$B$187,""))</f>
        <v>#REF!</v>
      </c>
      <c r="G656" s="113" t="e">
        <f>IF(AND(INDEX(#REF!,$A656)="Materials",LEN(INDEX(#REF!,$A656))&gt;0),$B$184,"")</f>
        <v>#REF!</v>
      </c>
      <c r="H656" s="113" t="e">
        <f>IF(AND(INDEX(#REF!,$A656)&gt;0,LEN(INDEX(#REF!,$A656))=0),$B$175,"")</f>
        <v>#REF!</v>
      </c>
      <c r="I656" s="113" t="e">
        <f>IF(AND(INDEX(#REF!,$A656)&gt;0,LEN(INDEX(#REF!,$A656))=0),$B$176,"")</f>
        <v>#REF!</v>
      </c>
    </row>
    <row r="657" spans="1:9" ht="12" customHeight="1" x14ac:dyDescent="0.35">
      <c r="A657" s="256">
        <v>35</v>
      </c>
      <c r="B657" s="113" t="str">
        <f t="array" ref="B657">IFERROR(INDEX(comb_notes_inkind[[#This Row],[Empty line]:[No organisation name]],1,MATCH(TRUE,LEN(comb_notes_inkind[[#This Row],[Empty line]:[No organisation name]])&gt;0,0)),"")</f>
        <v/>
      </c>
      <c r="C657" s="113" t="str">
        <f>IFERROR(IF(AND(LEN(INDEX(#REF!,$A657))+LEN(INDEX(#REF!,$A657))+LEN(INDEX(#REF!,$A657))+LEN(INDEX(#REF!,$A657))&gt;0,LEN(INDEX(#REF!,$A657-1))+LEN(INDEX(#REF!,$A657-1))+LEN(INDEX(#REF!,$A657-1))+LEN(INDEX(#REF!,$A657-1))=0),$B$127,""),"")</f>
        <v/>
      </c>
      <c r="D657" s="113" t="e">
        <f>IF(AND(INDEX(#REF!,$A657)&gt;0,LEN(INDEX(#REF!,$A657))=0,cofunding_inkind_def_rates="yes"),$B$183,"")</f>
        <v>#REF!</v>
      </c>
      <c r="E657" s="113" t="e">
        <f>IF(AND(INDEX(#REF!,$A657)&gt;0,LEN(INDEX(#REF!,$A657))=0,cofunding_inkind_def_rates="yes"),$B$183,"")</f>
        <v>#REF!</v>
      </c>
      <c r="F657" s="113" t="e">
        <f>IF(AND(INDEX(#REF!,$A657)="Junior",INDEX(#REF!,$A657)&gt;cofunding_junior_rate),$B$186,IF(AND(INDEX(#REF!,$A657)="Senior",INDEX(#REF!,$A657)&gt;cofunding_senior_rate),$B$187,""))</f>
        <v>#REF!</v>
      </c>
      <c r="G657" s="113" t="e">
        <f>IF(AND(INDEX(#REF!,$A657)="Materials",LEN(INDEX(#REF!,$A657))&gt;0),$B$184,"")</f>
        <v>#REF!</v>
      </c>
      <c r="H657" s="113" t="e">
        <f>IF(AND(INDEX(#REF!,$A657)&gt;0,LEN(INDEX(#REF!,$A657))=0),$B$175,"")</f>
        <v>#REF!</v>
      </c>
      <c r="I657" s="113" t="e">
        <f>IF(AND(INDEX(#REF!,$A657)&gt;0,LEN(INDEX(#REF!,$A657))=0),$B$176,"")</f>
        <v>#REF!</v>
      </c>
    </row>
    <row r="658" spans="1:9" ht="12" customHeight="1" x14ac:dyDescent="0.35">
      <c r="A658" s="256">
        <v>36</v>
      </c>
      <c r="B658" s="113" t="str">
        <f t="array" ref="B658">IFERROR(INDEX(comb_notes_inkind[[#This Row],[Empty line]:[No organisation name]],1,MATCH(TRUE,LEN(comb_notes_inkind[[#This Row],[Empty line]:[No organisation name]])&gt;0,0)),"")</f>
        <v/>
      </c>
      <c r="C658" s="113" t="str">
        <f>IFERROR(IF(AND(LEN(INDEX(#REF!,$A658))+LEN(INDEX(#REF!,$A658))+LEN(INDEX(#REF!,$A658))+LEN(INDEX(#REF!,$A658))&gt;0,LEN(INDEX(#REF!,$A658-1))+LEN(INDEX(#REF!,$A658-1))+LEN(INDEX(#REF!,$A658-1))+LEN(INDEX(#REF!,$A658-1))=0),$B$127,""),"")</f>
        <v/>
      </c>
      <c r="D658" s="113" t="e">
        <f>IF(AND(INDEX(#REF!,$A658)&gt;0,LEN(INDEX(#REF!,$A658))=0,cofunding_inkind_def_rates="yes"),$B$183,"")</f>
        <v>#REF!</v>
      </c>
      <c r="E658" s="113" t="e">
        <f>IF(AND(INDEX(#REF!,$A658)&gt;0,LEN(INDEX(#REF!,$A658))=0,cofunding_inkind_def_rates="yes"),$B$183,"")</f>
        <v>#REF!</v>
      </c>
      <c r="F658" s="113" t="e">
        <f>IF(AND(INDEX(#REF!,$A658)="Junior",INDEX(#REF!,$A658)&gt;cofunding_junior_rate),$B$186,IF(AND(INDEX(#REF!,$A658)="Senior",INDEX(#REF!,$A658)&gt;cofunding_senior_rate),$B$187,""))</f>
        <v>#REF!</v>
      </c>
      <c r="G658" s="113" t="e">
        <f>IF(AND(INDEX(#REF!,$A658)="Materials",LEN(INDEX(#REF!,$A658))&gt;0),$B$184,"")</f>
        <v>#REF!</v>
      </c>
      <c r="H658" s="113" t="e">
        <f>IF(AND(INDEX(#REF!,$A658)&gt;0,LEN(INDEX(#REF!,$A658))=0),$B$175,"")</f>
        <v>#REF!</v>
      </c>
      <c r="I658" s="113" t="e">
        <f>IF(AND(INDEX(#REF!,$A658)&gt;0,LEN(INDEX(#REF!,$A658))=0),$B$176,"")</f>
        <v>#REF!</v>
      </c>
    </row>
    <row r="659" spans="1:9" ht="12" customHeight="1" x14ac:dyDescent="0.35">
      <c r="A659" s="256">
        <v>37</v>
      </c>
      <c r="B659" s="113" t="str">
        <f t="array" ref="B659">IFERROR(INDEX(comb_notes_inkind[[#This Row],[Empty line]:[No organisation name]],1,MATCH(TRUE,LEN(comb_notes_inkind[[#This Row],[Empty line]:[No organisation name]])&gt;0,0)),"")</f>
        <v/>
      </c>
      <c r="C659" s="113" t="str">
        <f>IFERROR(IF(AND(LEN(INDEX(#REF!,$A659))+LEN(INDEX(#REF!,$A659))+LEN(INDEX(#REF!,$A659))+LEN(INDEX(#REF!,$A659))&gt;0,LEN(INDEX(#REF!,$A659-1))+LEN(INDEX(#REF!,$A659-1))+LEN(INDEX(#REF!,$A659-1))+LEN(INDEX(#REF!,$A659-1))=0),$B$127,""),"")</f>
        <v/>
      </c>
      <c r="D659" s="113" t="e">
        <f>IF(AND(INDEX(#REF!,$A659)&gt;0,LEN(INDEX(#REF!,$A659))=0,cofunding_inkind_def_rates="yes"),$B$183,"")</f>
        <v>#REF!</v>
      </c>
      <c r="E659" s="113" t="e">
        <f>IF(AND(INDEX(#REF!,$A659)&gt;0,LEN(INDEX(#REF!,$A659))=0,cofunding_inkind_def_rates="yes"),$B$183,"")</f>
        <v>#REF!</v>
      </c>
      <c r="F659" s="113" t="e">
        <f>IF(AND(INDEX(#REF!,$A659)="Junior",INDEX(#REF!,$A659)&gt;cofunding_junior_rate),$B$186,IF(AND(INDEX(#REF!,$A659)="Senior",INDEX(#REF!,$A659)&gt;cofunding_senior_rate),$B$187,""))</f>
        <v>#REF!</v>
      </c>
      <c r="G659" s="113" t="e">
        <f>IF(AND(INDEX(#REF!,$A659)="Materials",LEN(INDEX(#REF!,$A659))&gt;0),$B$184,"")</f>
        <v>#REF!</v>
      </c>
      <c r="H659" s="113" t="e">
        <f>IF(AND(INDEX(#REF!,$A659)&gt;0,LEN(INDEX(#REF!,$A659))=0),$B$175,"")</f>
        <v>#REF!</v>
      </c>
      <c r="I659" s="113" t="e">
        <f>IF(AND(INDEX(#REF!,$A659)&gt;0,LEN(INDEX(#REF!,$A659))=0),$B$176,"")</f>
        <v>#REF!</v>
      </c>
    </row>
    <row r="660" spans="1:9" ht="12" customHeight="1" x14ac:dyDescent="0.35">
      <c r="A660" s="256">
        <v>38</v>
      </c>
      <c r="B660" s="113" t="str">
        <f t="array" ref="B660">IFERROR(INDEX(comb_notes_inkind[[#This Row],[Empty line]:[No organisation name]],1,MATCH(TRUE,LEN(comb_notes_inkind[[#This Row],[Empty line]:[No organisation name]])&gt;0,0)),"")</f>
        <v/>
      </c>
      <c r="C660" s="113" t="str">
        <f>IFERROR(IF(AND(LEN(INDEX(#REF!,$A660))+LEN(INDEX(#REF!,$A660))+LEN(INDEX(#REF!,$A660))+LEN(INDEX(#REF!,$A660))&gt;0,LEN(INDEX(#REF!,$A660-1))+LEN(INDEX(#REF!,$A660-1))+LEN(INDEX(#REF!,$A660-1))+LEN(INDEX(#REF!,$A660-1))=0),$B$127,""),"")</f>
        <v/>
      </c>
      <c r="D660" s="113" t="e">
        <f>IF(AND(INDEX(#REF!,$A660)&gt;0,LEN(INDEX(#REF!,$A660))=0,cofunding_inkind_def_rates="yes"),$B$183,"")</f>
        <v>#REF!</v>
      </c>
      <c r="E660" s="113" t="e">
        <f>IF(AND(INDEX(#REF!,$A660)&gt;0,LEN(INDEX(#REF!,$A660))=0,cofunding_inkind_def_rates="yes"),$B$183,"")</f>
        <v>#REF!</v>
      </c>
      <c r="F660" s="113" t="e">
        <f>IF(AND(INDEX(#REF!,$A660)="Junior",INDEX(#REF!,$A660)&gt;cofunding_junior_rate),$B$186,IF(AND(INDEX(#REF!,$A660)="Senior",INDEX(#REF!,$A660)&gt;cofunding_senior_rate),$B$187,""))</f>
        <v>#REF!</v>
      </c>
      <c r="G660" s="113" t="e">
        <f>IF(AND(INDEX(#REF!,$A660)="Materials",LEN(INDEX(#REF!,$A660))&gt;0),$B$184,"")</f>
        <v>#REF!</v>
      </c>
      <c r="H660" s="113" t="e">
        <f>IF(AND(INDEX(#REF!,$A660)&gt;0,LEN(INDEX(#REF!,$A660))=0),$B$175,"")</f>
        <v>#REF!</v>
      </c>
      <c r="I660" s="113" t="e">
        <f>IF(AND(INDEX(#REF!,$A660)&gt;0,LEN(INDEX(#REF!,$A660))=0),$B$176,"")</f>
        <v>#REF!</v>
      </c>
    </row>
    <row r="661" spans="1:9" ht="12" customHeight="1" x14ac:dyDescent="0.35">
      <c r="A661" s="256">
        <v>39</v>
      </c>
      <c r="B661" s="113" t="str">
        <f t="array" ref="B661">IFERROR(INDEX(comb_notes_inkind[[#This Row],[Empty line]:[No organisation name]],1,MATCH(TRUE,LEN(comb_notes_inkind[[#This Row],[Empty line]:[No organisation name]])&gt;0,0)),"")</f>
        <v/>
      </c>
      <c r="C661" s="113" t="str">
        <f>IFERROR(IF(AND(LEN(INDEX(#REF!,$A661))+LEN(INDEX(#REF!,$A661))+LEN(INDEX(#REF!,$A661))+LEN(INDEX(#REF!,$A661))&gt;0,LEN(INDEX(#REF!,$A661-1))+LEN(INDEX(#REF!,$A661-1))+LEN(INDEX(#REF!,$A661-1))+LEN(INDEX(#REF!,$A661-1))=0),$B$127,""),"")</f>
        <v/>
      </c>
      <c r="D661" s="113" t="e">
        <f>IF(AND(INDEX(#REF!,$A661)&gt;0,LEN(INDEX(#REF!,$A661))=0,cofunding_inkind_def_rates="yes"),$B$183,"")</f>
        <v>#REF!</v>
      </c>
      <c r="E661" s="113" t="e">
        <f>IF(AND(INDEX(#REF!,$A661)&gt;0,LEN(INDEX(#REF!,$A661))=0,cofunding_inkind_def_rates="yes"),$B$183,"")</f>
        <v>#REF!</v>
      </c>
      <c r="F661" s="113" t="e">
        <f>IF(AND(INDEX(#REF!,$A661)="Junior",INDEX(#REF!,$A661)&gt;cofunding_junior_rate),$B$186,IF(AND(INDEX(#REF!,$A661)="Senior",INDEX(#REF!,$A661)&gt;cofunding_senior_rate),$B$187,""))</f>
        <v>#REF!</v>
      </c>
      <c r="G661" s="113" t="e">
        <f>IF(AND(INDEX(#REF!,$A661)="Materials",LEN(INDEX(#REF!,$A661))&gt;0),$B$184,"")</f>
        <v>#REF!</v>
      </c>
      <c r="H661" s="113" t="e">
        <f>IF(AND(INDEX(#REF!,$A661)&gt;0,LEN(INDEX(#REF!,$A661))=0),$B$175,"")</f>
        <v>#REF!</v>
      </c>
      <c r="I661" s="113" t="e">
        <f>IF(AND(INDEX(#REF!,$A661)&gt;0,LEN(INDEX(#REF!,$A661))=0),$B$176,"")</f>
        <v>#REF!</v>
      </c>
    </row>
    <row r="662" spans="1:9" ht="12" customHeight="1" x14ac:dyDescent="0.35">
      <c r="A662" s="256">
        <v>40</v>
      </c>
      <c r="B662" s="113" t="str">
        <f t="array" ref="B662">IFERROR(INDEX(comb_notes_inkind[[#This Row],[Empty line]:[No organisation name]],1,MATCH(TRUE,LEN(comb_notes_inkind[[#This Row],[Empty line]:[No organisation name]])&gt;0,0)),"")</f>
        <v/>
      </c>
      <c r="C662" s="113" t="str">
        <f>IFERROR(IF(AND(LEN(INDEX(#REF!,$A662))+LEN(INDEX(#REF!,$A662))+LEN(INDEX(#REF!,$A662))+LEN(INDEX(#REF!,$A662))&gt;0,LEN(INDEX(#REF!,$A662-1))+LEN(INDEX(#REF!,$A662-1))+LEN(INDEX(#REF!,$A662-1))+LEN(INDEX(#REF!,$A662-1))=0),$B$127,""),"")</f>
        <v/>
      </c>
      <c r="D662" s="113" t="e">
        <f>IF(AND(INDEX(#REF!,$A662)&gt;0,LEN(INDEX(#REF!,$A662))=0,cofunding_inkind_def_rates="yes"),$B$183,"")</f>
        <v>#REF!</v>
      </c>
      <c r="E662" s="113" t="e">
        <f>IF(AND(INDEX(#REF!,$A662)&gt;0,LEN(INDEX(#REF!,$A662))=0,cofunding_inkind_def_rates="yes"),$B$183,"")</f>
        <v>#REF!</v>
      </c>
      <c r="F662" s="113" t="e">
        <f>IF(AND(INDEX(#REF!,$A662)="Junior",INDEX(#REF!,$A662)&gt;cofunding_junior_rate),$B$186,IF(AND(INDEX(#REF!,$A662)="Senior",INDEX(#REF!,$A662)&gt;cofunding_senior_rate),$B$187,""))</f>
        <v>#REF!</v>
      </c>
      <c r="G662" s="113" t="e">
        <f>IF(AND(INDEX(#REF!,$A662)="Materials",LEN(INDEX(#REF!,$A662))&gt;0),$B$184,"")</f>
        <v>#REF!</v>
      </c>
      <c r="H662" s="113" t="e">
        <f>IF(AND(INDEX(#REF!,$A662)&gt;0,LEN(INDEX(#REF!,$A662))=0),$B$175,"")</f>
        <v>#REF!</v>
      </c>
      <c r="I662" s="113" t="e">
        <f>IF(AND(INDEX(#REF!,$A662)&gt;0,LEN(INDEX(#REF!,$A662))=0),$B$176,"")</f>
        <v>#REF!</v>
      </c>
    </row>
    <row r="663" spans="1:9" ht="12" customHeight="1" x14ac:dyDescent="0.35">
      <c r="A663" s="256">
        <v>41</v>
      </c>
      <c r="B663" s="113" t="str">
        <f t="array" ref="B663">IFERROR(INDEX(comb_notes_inkind[[#This Row],[Empty line]:[No organisation name]],1,MATCH(TRUE,LEN(comb_notes_inkind[[#This Row],[Empty line]:[No organisation name]])&gt;0,0)),"")</f>
        <v/>
      </c>
      <c r="C663" s="113" t="str">
        <f>IFERROR(IF(AND(LEN(INDEX(#REF!,$A663))+LEN(INDEX(#REF!,$A663))+LEN(INDEX(#REF!,$A663))+LEN(INDEX(#REF!,$A663))&gt;0,LEN(INDEX(#REF!,$A663-1))+LEN(INDEX(#REF!,$A663-1))+LEN(INDEX(#REF!,$A663-1))+LEN(INDEX(#REF!,$A663-1))=0),$B$127,""),"")</f>
        <v/>
      </c>
      <c r="D663" s="113" t="e">
        <f>IF(AND(INDEX(#REF!,$A663)&gt;0,LEN(INDEX(#REF!,$A663))=0,cofunding_inkind_def_rates="yes"),$B$183,"")</f>
        <v>#REF!</v>
      </c>
      <c r="E663" s="113" t="e">
        <f>IF(AND(INDEX(#REF!,$A663)&gt;0,LEN(INDEX(#REF!,$A663))=0,cofunding_inkind_def_rates="yes"),$B$183,"")</f>
        <v>#REF!</v>
      </c>
      <c r="F663" s="113" t="e">
        <f>IF(AND(INDEX(#REF!,$A663)="Junior",INDEX(#REF!,$A663)&gt;cofunding_junior_rate),$B$186,IF(AND(INDEX(#REF!,$A663)="Senior",INDEX(#REF!,$A663)&gt;cofunding_senior_rate),$B$187,""))</f>
        <v>#REF!</v>
      </c>
      <c r="G663" s="113" t="e">
        <f>IF(AND(INDEX(#REF!,$A663)="Materials",LEN(INDEX(#REF!,$A663))&gt;0),$B$184,"")</f>
        <v>#REF!</v>
      </c>
      <c r="H663" s="113" t="e">
        <f>IF(AND(INDEX(#REF!,$A663)&gt;0,LEN(INDEX(#REF!,$A663))=0),$B$175,"")</f>
        <v>#REF!</v>
      </c>
      <c r="I663" s="113" t="e">
        <f>IF(AND(INDEX(#REF!,$A663)&gt;0,LEN(INDEX(#REF!,$A663))=0),$B$176,"")</f>
        <v>#REF!</v>
      </c>
    </row>
    <row r="664" spans="1:9" ht="12" customHeight="1" x14ac:dyDescent="0.35">
      <c r="A664" s="256">
        <v>42</v>
      </c>
      <c r="B664" s="113" t="str">
        <f t="array" ref="B664">IFERROR(INDEX(comb_notes_inkind[[#This Row],[Empty line]:[No organisation name]],1,MATCH(TRUE,LEN(comb_notes_inkind[[#This Row],[Empty line]:[No organisation name]])&gt;0,0)),"")</f>
        <v/>
      </c>
      <c r="C664" s="113" t="str">
        <f>IFERROR(IF(AND(LEN(INDEX(#REF!,$A664))+LEN(INDEX(#REF!,$A664))+LEN(INDEX(#REF!,$A664))+LEN(INDEX(#REF!,$A664))&gt;0,LEN(INDEX(#REF!,$A664-1))+LEN(INDEX(#REF!,$A664-1))+LEN(INDEX(#REF!,$A664-1))+LEN(INDEX(#REF!,$A664-1))=0),$B$127,""),"")</f>
        <v/>
      </c>
      <c r="D664" s="113" t="e">
        <f>IF(AND(INDEX(#REF!,$A664)&gt;0,LEN(INDEX(#REF!,$A664))=0,cofunding_inkind_def_rates="yes"),$B$183,"")</f>
        <v>#REF!</v>
      </c>
      <c r="E664" s="113" t="e">
        <f>IF(AND(INDEX(#REF!,$A664)&gt;0,LEN(INDEX(#REF!,$A664))=0,cofunding_inkind_def_rates="yes"),$B$183,"")</f>
        <v>#REF!</v>
      </c>
      <c r="F664" s="113" t="e">
        <f>IF(AND(INDEX(#REF!,$A664)="Junior",INDEX(#REF!,$A664)&gt;cofunding_junior_rate),$B$186,IF(AND(INDEX(#REF!,$A664)="Senior",INDEX(#REF!,$A664)&gt;cofunding_senior_rate),$B$187,""))</f>
        <v>#REF!</v>
      </c>
      <c r="G664" s="113" t="e">
        <f>IF(AND(INDEX(#REF!,$A664)="Materials",LEN(INDEX(#REF!,$A664))&gt;0),$B$184,"")</f>
        <v>#REF!</v>
      </c>
      <c r="H664" s="113" t="e">
        <f>IF(AND(INDEX(#REF!,$A664)&gt;0,LEN(INDEX(#REF!,$A664))=0),$B$175,"")</f>
        <v>#REF!</v>
      </c>
      <c r="I664" s="113" t="e">
        <f>IF(AND(INDEX(#REF!,$A664)&gt;0,LEN(INDEX(#REF!,$A664))=0),$B$176,"")</f>
        <v>#REF!</v>
      </c>
    </row>
    <row r="665" spans="1:9" ht="12" customHeight="1" x14ac:dyDescent="0.35">
      <c r="A665" s="256">
        <v>43</v>
      </c>
      <c r="B665" s="113" t="str">
        <f t="array" ref="B665">IFERROR(INDEX(comb_notes_inkind[[#This Row],[Empty line]:[No organisation name]],1,MATCH(TRUE,LEN(comb_notes_inkind[[#This Row],[Empty line]:[No organisation name]])&gt;0,0)),"")</f>
        <v/>
      </c>
      <c r="C665" s="113" t="str">
        <f>IFERROR(IF(AND(LEN(INDEX(#REF!,$A665))+LEN(INDEX(#REF!,$A665))+LEN(INDEX(#REF!,$A665))+LEN(INDEX(#REF!,$A665))&gt;0,LEN(INDEX(#REF!,$A665-1))+LEN(INDEX(#REF!,$A665-1))+LEN(INDEX(#REF!,$A665-1))+LEN(INDEX(#REF!,$A665-1))=0),$B$127,""),"")</f>
        <v/>
      </c>
      <c r="D665" s="113" t="e">
        <f>IF(AND(INDEX(#REF!,$A665)&gt;0,LEN(INDEX(#REF!,$A665))=0,cofunding_inkind_def_rates="yes"),$B$183,"")</f>
        <v>#REF!</v>
      </c>
      <c r="E665" s="113" t="e">
        <f>IF(AND(INDEX(#REF!,$A665)&gt;0,LEN(INDEX(#REF!,$A665))=0,cofunding_inkind_def_rates="yes"),$B$183,"")</f>
        <v>#REF!</v>
      </c>
      <c r="F665" s="113" t="e">
        <f>IF(AND(INDEX(#REF!,$A665)="Junior",INDEX(#REF!,$A665)&gt;cofunding_junior_rate),$B$186,IF(AND(INDEX(#REF!,$A665)="Senior",INDEX(#REF!,$A665)&gt;cofunding_senior_rate),$B$187,""))</f>
        <v>#REF!</v>
      </c>
      <c r="G665" s="113" t="e">
        <f>IF(AND(INDEX(#REF!,$A665)="Materials",LEN(INDEX(#REF!,$A665))&gt;0),$B$184,"")</f>
        <v>#REF!</v>
      </c>
      <c r="H665" s="113" t="e">
        <f>IF(AND(INDEX(#REF!,$A665)&gt;0,LEN(INDEX(#REF!,$A665))=0),$B$175,"")</f>
        <v>#REF!</v>
      </c>
      <c r="I665" s="113" t="e">
        <f>IF(AND(INDEX(#REF!,$A665)&gt;0,LEN(INDEX(#REF!,$A665))=0),$B$176,"")</f>
        <v>#REF!</v>
      </c>
    </row>
    <row r="666" spans="1:9" ht="12" customHeight="1" x14ac:dyDescent="0.35">
      <c r="A666" s="256">
        <v>44</v>
      </c>
      <c r="B666" s="113" t="str">
        <f t="array" ref="B666">IFERROR(INDEX(comb_notes_inkind[[#This Row],[Empty line]:[No organisation name]],1,MATCH(TRUE,LEN(comb_notes_inkind[[#This Row],[Empty line]:[No organisation name]])&gt;0,0)),"")</f>
        <v/>
      </c>
      <c r="C666" s="113" t="str">
        <f>IFERROR(IF(AND(LEN(INDEX(#REF!,$A666))+LEN(INDEX(#REF!,$A666))+LEN(INDEX(#REF!,$A666))+LEN(INDEX(#REF!,$A666))&gt;0,LEN(INDEX(#REF!,$A666-1))+LEN(INDEX(#REF!,$A666-1))+LEN(INDEX(#REF!,$A666-1))+LEN(INDEX(#REF!,$A666-1))=0),$B$127,""),"")</f>
        <v/>
      </c>
      <c r="D666" s="113" t="e">
        <f>IF(AND(INDEX(#REF!,$A666)&gt;0,LEN(INDEX(#REF!,$A666))=0,cofunding_inkind_def_rates="yes"),$B$183,"")</f>
        <v>#REF!</v>
      </c>
      <c r="E666" s="113" t="e">
        <f>IF(AND(INDEX(#REF!,$A666)&gt;0,LEN(INDEX(#REF!,$A666))=0,cofunding_inkind_def_rates="yes"),$B$183,"")</f>
        <v>#REF!</v>
      </c>
      <c r="F666" s="113" t="e">
        <f>IF(AND(INDEX(#REF!,$A666)="Junior",INDEX(#REF!,$A666)&gt;cofunding_junior_rate),$B$186,IF(AND(INDEX(#REF!,$A666)="Senior",INDEX(#REF!,$A666)&gt;cofunding_senior_rate),$B$187,""))</f>
        <v>#REF!</v>
      </c>
      <c r="G666" s="113" t="e">
        <f>IF(AND(INDEX(#REF!,$A666)="Materials",LEN(INDEX(#REF!,$A666))&gt;0),$B$184,"")</f>
        <v>#REF!</v>
      </c>
      <c r="H666" s="113" t="e">
        <f>IF(AND(INDEX(#REF!,$A666)&gt;0,LEN(INDEX(#REF!,$A666))=0),$B$175,"")</f>
        <v>#REF!</v>
      </c>
      <c r="I666" s="113" t="e">
        <f>IF(AND(INDEX(#REF!,$A666)&gt;0,LEN(INDEX(#REF!,$A666))=0),$B$176,"")</f>
        <v>#REF!</v>
      </c>
    </row>
    <row r="667" spans="1:9" ht="12" customHeight="1" x14ac:dyDescent="0.35">
      <c r="A667" s="256">
        <v>45</v>
      </c>
      <c r="B667" s="113" t="str">
        <f t="array" ref="B667">IFERROR(INDEX(comb_notes_inkind[[#This Row],[Empty line]:[No organisation name]],1,MATCH(TRUE,LEN(comb_notes_inkind[[#This Row],[Empty line]:[No organisation name]])&gt;0,0)),"")</f>
        <v/>
      </c>
      <c r="C667" s="113" t="str">
        <f>IFERROR(IF(AND(LEN(INDEX(#REF!,$A667))+LEN(INDEX(#REF!,$A667))+LEN(INDEX(#REF!,$A667))+LEN(INDEX(#REF!,$A667))&gt;0,LEN(INDEX(#REF!,$A667-1))+LEN(INDEX(#REF!,$A667-1))+LEN(INDEX(#REF!,$A667-1))+LEN(INDEX(#REF!,$A667-1))=0),$B$127,""),"")</f>
        <v/>
      </c>
      <c r="D667" s="113" t="e">
        <f>IF(AND(INDEX(#REF!,$A667)&gt;0,LEN(INDEX(#REF!,$A667))=0,cofunding_inkind_def_rates="yes"),$B$183,"")</f>
        <v>#REF!</v>
      </c>
      <c r="E667" s="113" t="e">
        <f>IF(AND(INDEX(#REF!,$A667)&gt;0,LEN(INDEX(#REF!,$A667))=0,cofunding_inkind_def_rates="yes"),$B$183,"")</f>
        <v>#REF!</v>
      </c>
      <c r="F667" s="113" t="e">
        <f>IF(AND(INDEX(#REF!,$A667)="Junior",INDEX(#REF!,$A667)&gt;cofunding_junior_rate),$B$186,IF(AND(INDEX(#REF!,$A667)="Senior",INDEX(#REF!,$A667)&gt;cofunding_senior_rate),$B$187,""))</f>
        <v>#REF!</v>
      </c>
      <c r="G667" s="113" t="e">
        <f>IF(AND(INDEX(#REF!,$A667)="Materials",LEN(INDEX(#REF!,$A667))&gt;0),$B$184,"")</f>
        <v>#REF!</v>
      </c>
      <c r="H667" s="113" t="e">
        <f>IF(AND(INDEX(#REF!,$A667)&gt;0,LEN(INDEX(#REF!,$A667))=0),$B$175,"")</f>
        <v>#REF!</v>
      </c>
      <c r="I667" s="113" t="e">
        <f>IF(AND(INDEX(#REF!,$A667)&gt;0,LEN(INDEX(#REF!,$A667))=0),$B$176,"")</f>
        <v>#REF!</v>
      </c>
    </row>
    <row r="668" spans="1:9" ht="12" customHeight="1" x14ac:dyDescent="0.35">
      <c r="A668" s="256">
        <v>46</v>
      </c>
      <c r="B668" s="113" t="str">
        <f t="array" ref="B668">IFERROR(INDEX(comb_notes_inkind[[#This Row],[Empty line]:[No organisation name]],1,MATCH(TRUE,LEN(comb_notes_inkind[[#This Row],[Empty line]:[No organisation name]])&gt;0,0)),"")</f>
        <v/>
      </c>
      <c r="C668" s="113" t="str">
        <f>IFERROR(IF(AND(LEN(INDEX(#REF!,$A668))+LEN(INDEX(#REF!,$A668))+LEN(INDEX(#REF!,$A668))+LEN(INDEX(#REF!,$A668))&gt;0,LEN(INDEX(#REF!,$A668-1))+LEN(INDEX(#REF!,$A668-1))+LEN(INDEX(#REF!,$A668-1))+LEN(INDEX(#REF!,$A668-1))=0),$B$127,""),"")</f>
        <v/>
      </c>
      <c r="D668" s="113" t="e">
        <f>IF(AND(INDEX(#REF!,$A668)&gt;0,LEN(INDEX(#REF!,$A668))=0,cofunding_inkind_def_rates="yes"),$B$183,"")</f>
        <v>#REF!</v>
      </c>
      <c r="E668" s="113" t="e">
        <f>IF(AND(INDEX(#REF!,$A668)&gt;0,LEN(INDEX(#REF!,$A668))=0,cofunding_inkind_def_rates="yes"),$B$183,"")</f>
        <v>#REF!</v>
      </c>
      <c r="F668" s="113" t="e">
        <f>IF(AND(INDEX(#REF!,$A668)="Junior",INDEX(#REF!,$A668)&gt;cofunding_junior_rate),$B$186,IF(AND(INDEX(#REF!,$A668)="Senior",INDEX(#REF!,$A668)&gt;cofunding_senior_rate),$B$187,""))</f>
        <v>#REF!</v>
      </c>
      <c r="G668" s="113" t="e">
        <f>IF(AND(INDEX(#REF!,$A668)="Materials",LEN(INDEX(#REF!,$A668))&gt;0),$B$184,"")</f>
        <v>#REF!</v>
      </c>
      <c r="H668" s="113" t="e">
        <f>IF(AND(INDEX(#REF!,$A668)&gt;0,LEN(INDEX(#REF!,$A668))=0),$B$175,"")</f>
        <v>#REF!</v>
      </c>
      <c r="I668" s="113" t="e">
        <f>IF(AND(INDEX(#REF!,$A668)&gt;0,LEN(INDEX(#REF!,$A668))=0),$B$176,"")</f>
        <v>#REF!</v>
      </c>
    </row>
    <row r="669" spans="1:9" ht="12" customHeight="1" x14ac:dyDescent="0.35">
      <c r="A669" s="256">
        <v>47</v>
      </c>
      <c r="B669" s="113" t="str">
        <f t="array" ref="B669">IFERROR(INDEX(comb_notes_inkind[[#This Row],[Empty line]:[No organisation name]],1,MATCH(TRUE,LEN(comb_notes_inkind[[#This Row],[Empty line]:[No organisation name]])&gt;0,0)),"")</f>
        <v/>
      </c>
      <c r="C669" s="113" t="str">
        <f>IFERROR(IF(AND(LEN(INDEX(#REF!,$A669))+LEN(INDEX(#REF!,$A669))+LEN(INDEX(#REF!,$A669))+LEN(INDEX(#REF!,$A669))&gt;0,LEN(INDEX(#REF!,$A669-1))+LEN(INDEX(#REF!,$A669-1))+LEN(INDEX(#REF!,$A669-1))+LEN(INDEX(#REF!,$A669-1))=0),$B$127,""),"")</f>
        <v/>
      </c>
      <c r="D669" s="113" t="e">
        <f>IF(AND(INDEX(#REF!,$A669)&gt;0,LEN(INDEX(#REF!,$A669))=0,cofunding_inkind_def_rates="yes"),$B$183,"")</f>
        <v>#REF!</v>
      </c>
      <c r="E669" s="113" t="e">
        <f>IF(AND(INDEX(#REF!,$A669)&gt;0,LEN(INDEX(#REF!,$A669))=0,cofunding_inkind_def_rates="yes"),$B$183,"")</f>
        <v>#REF!</v>
      </c>
      <c r="F669" s="113" t="e">
        <f>IF(AND(INDEX(#REF!,$A669)="Junior",INDEX(#REF!,$A669)&gt;cofunding_junior_rate),$B$186,IF(AND(INDEX(#REF!,$A669)="Senior",INDEX(#REF!,$A669)&gt;cofunding_senior_rate),$B$187,""))</f>
        <v>#REF!</v>
      </c>
      <c r="G669" s="113" t="e">
        <f>IF(AND(INDEX(#REF!,$A669)="Materials",LEN(INDEX(#REF!,$A669))&gt;0),$B$184,"")</f>
        <v>#REF!</v>
      </c>
      <c r="H669" s="113" t="e">
        <f>IF(AND(INDEX(#REF!,$A669)&gt;0,LEN(INDEX(#REF!,$A669))=0),$B$175,"")</f>
        <v>#REF!</v>
      </c>
      <c r="I669" s="113" t="e">
        <f>IF(AND(INDEX(#REF!,$A669)&gt;0,LEN(INDEX(#REF!,$A669))=0),$B$176,"")</f>
        <v>#REF!</v>
      </c>
    </row>
    <row r="670" spans="1:9" ht="12" customHeight="1" x14ac:dyDescent="0.35">
      <c r="A670" s="256">
        <v>48</v>
      </c>
      <c r="B670" s="113" t="str">
        <f t="array" ref="B670">IFERROR(INDEX(comb_notes_inkind[[#This Row],[Empty line]:[No organisation name]],1,MATCH(TRUE,LEN(comb_notes_inkind[[#This Row],[Empty line]:[No organisation name]])&gt;0,0)),"")</f>
        <v/>
      </c>
      <c r="C670" s="113" t="str">
        <f>IFERROR(IF(AND(LEN(INDEX(#REF!,$A670))+LEN(INDEX(#REF!,$A670))+LEN(INDEX(#REF!,$A670))+LEN(INDEX(#REF!,$A670))&gt;0,LEN(INDEX(#REF!,$A670-1))+LEN(INDEX(#REF!,$A670-1))+LEN(INDEX(#REF!,$A670-1))+LEN(INDEX(#REF!,$A670-1))=0),$B$127,""),"")</f>
        <v/>
      </c>
      <c r="D670" s="113" t="e">
        <f>IF(AND(INDEX(#REF!,$A670)&gt;0,LEN(INDEX(#REF!,$A670))=0,cofunding_inkind_def_rates="yes"),$B$183,"")</f>
        <v>#REF!</v>
      </c>
      <c r="E670" s="113" t="e">
        <f>IF(AND(INDEX(#REF!,$A670)&gt;0,LEN(INDEX(#REF!,$A670))=0,cofunding_inkind_def_rates="yes"),$B$183,"")</f>
        <v>#REF!</v>
      </c>
      <c r="F670" s="113" t="e">
        <f>IF(AND(INDEX(#REF!,$A670)="Junior",INDEX(#REF!,$A670)&gt;cofunding_junior_rate),$B$186,IF(AND(INDEX(#REF!,$A670)="Senior",INDEX(#REF!,$A670)&gt;cofunding_senior_rate),$B$187,""))</f>
        <v>#REF!</v>
      </c>
      <c r="G670" s="113" t="e">
        <f>IF(AND(INDEX(#REF!,$A670)="Materials",LEN(INDEX(#REF!,$A670))&gt;0),$B$184,"")</f>
        <v>#REF!</v>
      </c>
      <c r="H670" s="113" t="e">
        <f>IF(AND(INDEX(#REF!,$A670)&gt;0,LEN(INDEX(#REF!,$A670))=0),$B$175,"")</f>
        <v>#REF!</v>
      </c>
      <c r="I670" s="113" t="e">
        <f>IF(AND(INDEX(#REF!,$A670)&gt;0,LEN(INDEX(#REF!,$A670))=0),$B$176,"")</f>
        <v>#REF!</v>
      </c>
    </row>
    <row r="671" spans="1:9" ht="12" customHeight="1" x14ac:dyDescent="0.35">
      <c r="A671" s="256">
        <v>49</v>
      </c>
      <c r="B671" s="113" t="str">
        <f t="array" ref="B671">IFERROR(INDEX(comb_notes_inkind[[#This Row],[Empty line]:[No organisation name]],1,MATCH(TRUE,LEN(comb_notes_inkind[[#This Row],[Empty line]:[No organisation name]])&gt;0,0)),"")</f>
        <v/>
      </c>
      <c r="C671" s="113" t="str">
        <f>IFERROR(IF(AND(LEN(INDEX(#REF!,$A671))+LEN(INDEX(#REF!,$A671))+LEN(INDEX(#REF!,$A671))+LEN(INDEX(#REF!,$A671))&gt;0,LEN(INDEX(#REF!,$A671-1))+LEN(INDEX(#REF!,$A671-1))+LEN(INDEX(#REF!,$A671-1))+LEN(INDEX(#REF!,$A671-1))=0),$B$127,""),"")</f>
        <v/>
      </c>
      <c r="D671" s="113" t="e">
        <f>IF(AND(INDEX(#REF!,$A671)&gt;0,LEN(INDEX(#REF!,$A671))=0,cofunding_inkind_def_rates="yes"),$B$183,"")</f>
        <v>#REF!</v>
      </c>
      <c r="E671" s="113" t="e">
        <f>IF(AND(INDEX(#REF!,$A671)&gt;0,LEN(INDEX(#REF!,$A671))=0,cofunding_inkind_def_rates="yes"),$B$183,"")</f>
        <v>#REF!</v>
      </c>
      <c r="F671" s="113" t="e">
        <f>IF(AND(INDEX(#REF!,$A671)="Junior",INDEX(#REF!,$A671)&gt;cofunding_junior_rate),$B$186,IF(AND(INDEX(#REF!,$A671)="Senior",INDEX(#REF!,$A671)&gt;cofunding_senior_rate),$B$187,""))</f>
        <v>#REF!</v>
      </c>
      <c r="G671" s="113" t="e">
        <f>IF(AND(INDEX(#REF!,$A671)="Materials",LEN(INDEX(#REF!,$A671))&gt;0),$B$184,"")</f>
        <v>#REF!</v>
      </c>
      <c r="H671" s="113" t="e">
        <f>IF(AND(INDEX(#REF!,$A671)&gt;0,LEN(INDEX(#REF!,$A671))=0),$B$175,"")</f>
        <v>#REF!</v>
      </c>
      <c r="I671" s="113" t="e">
        <f>IF(AND(INDEX(#REF!,$A671)&gt;0,LEN(INDEX(#REF!,$A671))=0),$B$176,"")</f>
        <v>#REF!</v>
      </c>
    </row>
    <row r="672" spans="1:9" ht="12" customHeight="1" x14ac:dyDescent="0.35">
      <c r="A672" s="256">
        <v>50</v>
      </c>
      <c r="B672" s="113" t="str">
        <f t="array" ref="B672">IFERROR(INDEX(comb_notes_inkind[[#This Row],[Empty line]:[No organisation name]],1,MATCH(TRUE,LEN(comb_notes_inkind[[#This Row],[Empty line]:[No organisation name]])&gt;0,0)),"")</f>
        <v/>
      </c>
      <c r="C672" s="113" t="str">
        <f>IFERROR(IF(AND(LEN(INDEX(#REF!,$A672))+LEN(INDEX(#REF!,$A672))+LEN(INDEX(#REF!,$A672))+LEN(INDEX(#REF!,$A672))&gt;0,LEN(INDEX(#REF!,$A672-1))+LEN(INDEX(#REF!,$A672-1))+LEN(INDEX(#REF!,$A672-1))+LEN(INDEX(#REF!,$A672-1))=0),$B$127,""),"")</f>
        <v/>
      </c>
      <c r="D672" s="113" t="e">
        <f>IF(AND(INDEX(#REF!,$A672)&gt;0,LEN(INDEX(#REF!,$A672))=0,cofunding_inkind_def_rates="yes"),$B$183,"")</f>
        <v>#REF!</v>
      </c>
      <c r="E672" s="113" t="e">
        <f>IF(AND(INDEX(#REF!,$A672)&gt;0,LEN(INDEX(#REF!,$A672))=0,cofunding_inkind_def_rates="yes"),$B$183,"")</f>
        <v>#REF!</v>
      </c>
      <c r="F672" s="113" t="e">
        <f>IF(AND(INDEX(#REF!,$A672)="Junior",INDEX(#REF!,$A672)&gt;cofunding_junior_rate),$B$186,IF(AND(INDEX(#REF!,$A672)="Senior",INDEX(#REF!,$A672)&gt;cofunding_senior_rate),$B$187,""))</f>
        <v>#REF!</v>
      </c>
      <c r="G672" s="113" t="e">
        <f>IF(AND(INDEX(#REF!,$A672)="Materials",LEN(INDEX(#REF!,$A672))&gt;0),$B$184,"")</f>
        <v>#REF!</v>
      </c>
      <c r="H672" s="113" t="e">
        <f>IF(AND(INDEX(#REF!,$A672)&gt;0,LEN(INDEX(#REF!,$A672))=0),$B$175,"")</f>
        <v>#REF!</v>
      </c>
      <c r="I672" s="113" t="e">
        <f>IF(AND(INDEX(#REF!,$A672)&gt;0,LEN(INDEX(#REF!,$A672))=0),$B$176,"")</f>
        <v>#REF!</v>
      </c>
    </row>
    <row r="673" spans="1:9" ht="12" customHeight="1" x14ac:dyDescent="0.35">
      <c r="A673" s="256">
        <v>51</v>
      </c>
      <c r="B673" s="113" t="str">
        <f t="array" ref="B673">IFERROR(INDEX(comb_notes_inkind[[#This Row],[Empty line]:[No organisation name]],1,MATCH(TRUE,LEN(comb_notes_inkind[[#This Row],[Empty line]:[No organisation name]])&gt;0,0)),"")</f>
        <v/>
      </c>
      <c r="C673" s="113" t="str">
        <f>IFERROR(IF(AND(LEN(INDEX(#REF!,$A673))+LEN(INDEX(#REF!,$A673))+LEN(INDEX(#REF!,$A673))+LEN(INDEX(#REF!,$A673))&gt;0,LEN(INDEX(#REF!,$A673-1))+LEN(INDEX(#REF!,$A673-1))+LEN(INDEX(#REF!,$A673-1))+LEN(INDEX(#REF!,$A673-1))=0),$B$127,""),"")</f>
        <v/>
      </c>
      <c r="D673" s="113" t="e">
        <f>IF(AND(INDEX(#REF!,$A673)&gt;0,LEN(INDEX(#REF!,$A673))=0,cofunding_inkind_def_rates="yes"),$B$183,"")</f>
        <v>#REF!</v>
      </c>
      <c r="E673" s="113" t="e">
        <f>IF(AND(INDEX(#REF!,$A673)&gt;0,LEN(INDEX(#REF!,$A673))=0,cofunding_inkind_def_rates="yes"),$B$183,"")</f>
        <v>#REF!</v>
      </c>
      <c r="F673" s="113" t="e">
        <f>IF(AND(INDEX(#REF!,$A673)="Junior",INDEX(#REF!,$A673)&gt;cofunding_junior_rate),$B$186,IF(AND(INDEX(#REF!,$A673)="Senior",INDEX(#REF!,$A673)&gt;cofunding_senior_rate),$B$187,""))</f>
        <v>#REF!</v>
      </c>
      <c r="G673" s="113" t="e">
        <f>IF(AND(INDEX(#REF!,$A673)="Materials",LEN(INDEX(#REF!,$A673))&gt;0),$B$184,"")</f>
        <v>#REF!</v>
      </c>
      <c r="H673" s="113" t="e">
        <f>IF(AND(INDEX(#REF!,$A673)&gt;0,LEN(INDEX(#REF!,$A673))=0),$B$175,"")</f>
        <v>#REF!</v>
      </c>
      <c r="I673" s="113" t="e">
        <f>IF(AND(INDEX(#REF!,$A673)&gt;0,LEN(INDEX(#REF!,$A673))=0),$B$176,"")</f>
        <v>#REF!</v>
      </c>
    </row>
    <row r="674" spans="1:9" ht="12" customHeight="1" x14ac:dyDescent="0.35">
      <c r="A674" s="256">
        <v>52</v>
      </c>
      <c r="B674" s="113" t="str">
        <f t="array" ref="B674">IFERROR(INDEX(comb_notes_inkind[[#This Row],[Empty line]:[No organisation name]],1,MATCH(TRUE,LEN(comb_notes_inkind[[#This Row],[Empty line]:[No organisation name]])&gt;0,0)),"")</f>
        <v/>
      </c>
      <c r="C674" s="113" t="str">
        <f>IFERROR(IF(AND(LEN(INDEX(#REF!,$A674))+LEN(INDEX(#REF!,$A674))+LEN(INDEX(#REF!,$A674))+LEN(INDEX(#REF!,$A674))&gt;0,LEN(INDEX(#REF!,$A674-1))+LEN(INDEX(#REF!,$A674-1))+LEN(INDEX(#REF!,$A674-1))+LEN(INDEX(#REF!,$A674-1))=0),$B$127,""),"")</f>
        <v/>
      </c>
      <c r="D674" s="113" t="e">
        <f>IF(AND(INDEX(#REF!,$A674)&gt;0,LEN(INDEX(#REF!,$A674))=0,cofunding_inkind_def_rates="yes"),$B$183,"")</f>
        <v>#REF!</v>
      </c>
      <c r="E674" s="113" t="e">
        <f>IF(AND(INDEX(#REF!,$A674)&gt;0,LEN(INDEX(#REF!,$A674))=0,cofunding_inkind_def_rates="yes"),$B$183,"")</f>
        <v>#REF!</v>
      </c>
      <c r="F674" s="113" t="e">
        <f>IF(AND(INDEX(#REF!,$A674)="Junior",INDEX(#REF!,$A674)&gt;cofunding_junior_rate),$B$186,IF(AND(INDEX(#REF!,$A674)="Senior",INDEX(#REF!,$A674)&gt;cofunding_senior_rate),$B$187,""))</f>
        <v>#REF!</v>
      </c>
      <c r="G674" s="113" t="e">
        <f>IF(AND(INDEX(#REF!,$A674)="Materials",LEN(INDEX(#REF!,$A674))&gt;0),$B$184,"")</f>
        <v>#REF!</v>
      </c>
      <c r="H674" s="113" t="e">
        <f>IF(AND(INDEX(#REF!,$A674)&gt;0,LEN(INDEX(#REF!,$A674))=0),$B$175,"")</f>
        <v>#REF!</v>
      </c>
      <c r="I674" s="113" t="e">
        <f>IF(AND(INDEX(#REF!,$A674)&gt;0,LEN(INDEX(#REF!,$A674))=0),$B$176,"")</f>
        <v>#REF!</v>
      </c>
    </row>
    <row r="675" spans="1:9" ht="12" customHeight="1" x14ac:dyDescent="0.35">
      <c r="A675" s="256">
        <v>53</v>
      </c>
      <c r="B675" s="113" t="str">
        <f t="array" ref="B675">IFERROR(INDEX(comb_notes_inkind[[#This Row],[Empty line]:[No organisation name]],1,MATCH(TRUE,LEN(comb_notes_inkind[[#This Row],[Empty line]:[No organisation name]])&gt;0,0)),"")</f>
        <v/>
      </c>
      <c r="C675" s="113" t="str">
        <f>IFERROR(IF(AND(LEN(INDEX(#REF!,$A675))+LEN(INDEX(#REF!,$A675))+LEN(INDEX(#REF!,$A675))+LEN(INDEX(#REF!,$A675))&gt;0,LEN(INDEX(#REF!,$A675-1))+LEN(INDEX(#REF!,$A675-1))+LEN(INDEX(#REF!,$A675-1))+LEN(INDEX(#REF!,$A675-1))=0),$B$127,""),"")</f>
        <v/>
      </c>
      <c r="D675" s="113" t="e">
        <f>IF(AND(INDEX(#REF!,$A675)&gt;0,LEN(INDEX(#REF!,$A675))=0,cofunding_inkind_def_rates="yes"),$B$183,"")</f>
        <v>#REF!</v>
      </c>
      <c r="E675" s="113" t="e">
        <f>IF(AND(INDEX(#REF!,$A675)&gt;0,LEN(INDEX(#REF!,$A675))=0,cofunding_inkind_def_rates="yes"),$B$183,"")</f>
        <v>#REF!</v>
      </c>
      <c r="F675" s="113" t="e">
        <f>IF(AND(INDEX(#REF!,$A675)="Junior",INDEX(#REF!,$A675)&gt;cofunding_junior_rate),$B$186,IF(AND(INDEX(#REF!,$A675)="Senior",INDEX(#REF!,$A675)&gt;cofunding_senior_rate),$B$187,""))</f>
        <v>#REF!</v>
      </c>
      <c r="G675" s="113" t="e">
        <f>IF(AND(INDEX(#REF!,$A675)="Materials",LEN(INDEX(#REF!,$A675))&gt;0),$B$184,"")</f>
        <v>#REF!</v>
      </c>
      <c r="H675" s="113" t="e">
        <f>IF(AND(INDEX(#REF!,$A675)&gt;0,LEN(INDEX(#REF!,$A675))=0),$B$175,"")</f>
        <v>#REF!</v>
      </c>
      <c r="I675" s="113" t="e">
        <f>IF(AND(INDEX(#REF!,$A675)&gt;0,LEN(INDEX(#REF!,$A675))=0),$B$176,"")</f>
        <v>#REF!</v>
      </c>
    </row>
    <row r="676" spans="1:9" ht="12" customHeight="1" x14ac:dyDescent="0.35">
      <c r="A676" s="256">
        <v>54</v>
      </c>
      <c r="B676" s="113" t="str">
        <f t="array" ref="B676">IFERROR(INDEX(comb_notes_inkind[[#This Row],[Empty line]:[No organisation name]],1,MATCH(TRUE,LEN(comb_notes_inkind[[#This Row],[Empty line]:[No organisation name]])&gt;0,0)),"")</f>
        <v/>
      </c>
      <c r="C676" s="113" t="str">
        <f>IFERROR(IF(AND(LEN(INDEX(#REF!,$A676))+LEN(INDEX(#REF!,$A676))+LEN(INDEX(#REF!,$A676))+LEN(INDEX(#REF!,$A676))&gt;0,LEN(INDEX(#REF!,$A676-1))+LEN(INDEX(#REF!,$A676-1))+LEN(INDEX(#REF!,$A676-1))+LEN(INDEX(#REF!,$A676-1))=0),$B$127,""),"")</f>
        <v/>
      </c>
      <c r="D676" s="113" t="e">
        <f>IF(AND(INDEX(#REF!,$A676)&gt;0,LEN(INDEX(#REF!,$A676))=0,cofunding_inkind_def_rates="yes"),$B$183,"")</f>
        <v>#REF!</v>
      </c>
      <c r="E676" s="113" t="e">
        <f>IF(AND(INDEX(#REF!,$A676)&gt;0,LEN(INDEX(#REF!,$A676))=0,cofunding_inkind_def_rates="yes"),$B$183,"")</f>
        <v>#REF!</v>
      </c>
      <c r="F676" s="113" t="e">
        <f>IF(AND(INDEX(#REF!,$A676)="Junior",INDEX(#REF!,$A676)&gt;cofunding_junior_rate),$B$186,IF(AND(INDEX(#REF!,$A676)="Senior",INDEX(#REF!,$A676)&gt;cofunding_senior_rate),$B$187,""))</f>
        <v>#REF!</v>
      </c>
      <c r="G676" s="113" t="e">
        <f>IF(AND(INDEX(#REF!,$A676)="Materials",LEN(INDEX(#REF!,$A676))&gt;0),$B$184,"")</f>
        <v>#REF!</v>
      </c>
      <c r="H676" s="113" t="e">
        <f>IF(AND(INDEX(#REF!,$A676)&gt;0,LEN(INDEX(#REF!,$A676))=0),$B$175,"")</f>
        <v>#REF!</v>
      </c>
      <c r="I676" s="113" t="e">
        <f>IF(AND(INDEX(#REF!,$A676)&gt;0,LEN(INDEX(#REF!,$A676))=0),$B$176,"")</f>
        <v>#REF!</v>
      </c>
    </row>
    <row r="677" spans="1:9" ht="12" customHeight="1" x14ac:dyDescent="0.35">
      <c r="A677" s="256">
        <v>55</v>
      </c>
      <c r="B677" s="113" t="str">
        <f t="array" ref="B677">IFERROR(INDEX(comb_notes_inkind[[#This Row],[Empty line]:[No organisation name]],1,MATCH(TRUE,LEN(comb_notes_inkind[[#This Row],[Empty line]:[No organisation name]])&gt;0,0)),"")</f>
        <v/>
      </c>
      <c r="C677" s="113" t="str">
        <f>IFERROR(IF(AND(LEN(INDEX(#REF!,$A677))+LEN(INDEX(#REF!,$A677))+LEN(INDEX(#REF!,$A677))+LEN(INDEX(#REF!,$A677))&gt;0,LEN(INDEX(#REF!,$A677-1))+LEN(INDEX(#REF!,$A677-1))+LEN(INDEX(#REF!,$A677-1))+LEN(INDEX(#REF!,$A677-1))=0),$B$127,""),"")</f>
        <v/>
      </c>
      <c r="D677" s="113" t="e">
        <f>IF(AND(INDEX(#REF!,$A677)&gt;0,LEN(INDEX(#REF!,$A677))=0,cofunding_inkind_def_rates="yes"),$B$183,"")</f>
        <v>#REF!</v>
      </c>
      <c r="E677" s="113" t="e">
        <f>IF(AND(INDEX(#REF!,$A677)&gt;0,LEN(INDEX(#REF!,$A677))=0,cofunding_inkind_def_rates="yes"),$B$183,"")</f>
        <v>#REF!</v>
      </c>
      <c r="F677" s="113" t="e">
        <f>IF(AND(INDEX(#REF!,$A677)="Junior",INDEX(#REF!,$A677)&gt;cofunding_junior_rate),$B$186,IF(AND(INDEX(#REF!,$A677)="Senior",INDEX(#REF!,$A677)&gt;cofunding_senior_rate),$B$187,""))</f>
        <v>#REF!</v>
      </c>
      <c r="G677" s="113" t="e">
        <f>IF(AND(INDEX(#REF!,$A677)="Materials",LEN(INDEX(#REF!,$A677))&gt;0),$B$184,"")</f>
        <v>#REF!</v>
      </c>
      <c r="H677" s="113" t="e">
        <f>IF(AND(INDEX(#REF!,$A677)&gt;0,LEN(INDEX(#REF!,$A677))=0),$B$175,"")</f>
        <v>#REF!</v>
      </c>
      <c r="I677" s="113" t="e">
        <f>IF(AND(INDEX(#REF!,$A677)&gt;0,LEN(INDEX(#REF!,$A677))=0),$B$176,"")</f>
        <v>#REF!</v>
      </c>
    </row>
    <row r="678" spans="1:9" ht="12" customHeight="1" x14ac:dyDescent="0.35">
      <c r="A678" s="256">
        <v>56</v>
      </c>
      <c r="B678" s="113" t="str">
        <f t="array" ref="B678">IFERROR(INDEX(comb_notes_inkind[[#This Row],[Empty line]:[No organisation name]],1,MATCH(TRUE,LEN(comb_notes_inkind[[#This Row],[Empty line]:[No organisation name]])&gt;0,0)),"")</f>
        <v/>
      </c>
      <c r="C678" s="113" t="str">
        <f>IFERROR(IF(AND(LEN(INDEX(#REF!,$A678))+LEN(INDEX(#REF!,$A678))+LEN(INDEX(#REF!,$A678))+LEN(INDEX(#REF!,$A678))&gt;0,LEN(INDEX(#REF!,$A678-1))+LEN(INDEX(#REF!,$A678-1))+LEN(INDEX(#REF!,$A678-1))+LEN(INDEX(#REF!,$A678-1))=0),$B$127,""),"")</f>
        <v/>
      </c>
      <c r="D678" s="113" t="e">
        <f>IF(AND(INDEX(#REF!,$A678)&gt;0,LEN(INDEX(#REF!,$A678))=0,cofunding_inkind_def_rates="yes"),$B$183,"")</f>
        <v>#REF!</v>
      </c>
      <c r="E678" s="113" t="e">
        <f>IF(AND(INDEX(#REF!,$A678)&gt;0,LEN(INDEX(#REF!,$A678))=0,cofunding_inkind_def_rates="yes"),$B$183,"")</f>
        <v>#REF!</v>
      </c>
      <c r="F678" s="113" t="e">
        <f>IF(AND(INDEX(#REF!,$A678)="Junior",INDEX(#REF!,$A678)&gt;cofunding_junior_rate),$B$186,IF(AND(INDEX(#REF!,$A678)="Senior",INDEX(#REF!,$A678)&gt;cofunding_senior_rate),$B$187,""))</f>
        <v>#REF!</v>
      </c>
      <c r="G678" s="113" t="e">
        <f>IF(AND(INDEX(#REF!,$A678)="Materials",LEN(INDEX(#REF!,$A678))&gt;0),$B$184,"")</f>
        <v>#REF!</v>
      </c>
      <c r="H678" s="113" t="e">
        <f>IF(AND(INDEX(#REF!,$A678)&gt;0,LEN(INDEX(#REF!,$A678))=0),$B$175,"")</f>
        <v>#REF!</v>
      </c>
      <c r="I678" s="113" t="e">
        <f>IF(AND(INDEX(#REF!,$A678)&gt;0,LEN(INDEX(#REF!,$A678))=0),$B$176,"")</f>
        <v>#REF!</v>
      </c>
    </row>
    <row r="679" spans="1:9" ht="12" customHeight="1" x14ac:dyDescent="0.35">
      <c r="A679" s="256">
        <v>57</v>
      </c>
      <c r="B679" s="113" t="str">
        <f t="array" ref="B679">IFERROR(INDEX(comb_notes_inkind[[#This Row],[Empty line]:[No organisation name]],1,MATCH(TRUE,LEN(comb_notes_inkind[[#This Row],[Empty line]:[No organisation name]])&gt;0,0)),"")</f>
        <v/>
      </c>
      <c r="C679" s="113" t="str">
        <f>IFERROR(IF(AND(LEN(INDEX(#REF!,$A679))+LEN(INDEX(#REF!,$A679))+LEN(INDEX(#REF!,$A679))+LEN(INDEX(#REF!,$A679))&gt;0,LEN(INDEX(#REF!,$A679-1))+LEN(INDEX(#REF!,$A679-1))+LEN(INDEX(#REF!,$A679-1))+LEN(INDEX(#REF!,$A679-1))=0),$B$127,""),"")</f>
        <v/>
      </c>
      <c r="D679" s="113" t="e">
        <f>IF(AND(INDEX(#REF!,$A679)&gt;0,LEN(INDEX(#REF!,$A679))=0,cofunding_inkind_def_rates="yes"),$B$183,"")</f>
        <v>#REF!</v>
      </c>
      <c r="E679" s="113" t="e">
        <f>IF(AND(INDEX(#REF!,$A679)&gt;0,LEN(INDEX(#REF!,$A679))=0,cofunding_inkind_def_rates="yes"),$B$183,"")</f>
        <v>#REF!</v>
      </c>
      <c r="F679" s="113" t="e">
        <f>IF(AND(INDEX(#REF!,$A679)="Junior",INDEX(#REF!,$A679)&gt;cofunding_junior_rate),$B$186,IF(AND(INDEX(#REF!,$A679)="Senior",INDEX(#REF!,$A679)&gt;cofunding_senior_rate),$B$187,""))</f>
        <v>#REF!</v>
      </c>
      <c r="G679" s="113" t="e">
        <f>IF(AND(INDEX(#REF!,$A679)="Materials",LEN(INDEX(#REF!,$A679))&gt;0),$B$184,"")</f>
        <v>#REF!</v>
      </c>
      <c r="H679" s="113" t="e">
        <f>IF(AND(INDEX(#REF!,$A679)&gt;0,LEN(INDEX(#REF!,$A679))=0),$B$175,"")</f>
        <v>#REF!</v>
      </c>
      <c r="I679" s="113" t="e">
        <f>IF(AND(INDEX(#REF!,$A679)&gt;0,LEN(INDEX(#REF!,$A679))=0),$B$176,"")</f>
        <v>#REF!</v>
      </c>
    </row>
    <row r="680" spans="1:9" ht="12" customHeight="1" x14ac:dyDescent="0.35">
      <c r="A680" s="256">
        <v>58</v>
      </c>
      <c r="B680" s="113" t="str">
        <f t="array" ref="B680">IFERROR(INDEX(comb_notes_inkind[[#This Row],[Empty line]:[No organisation name]],1,MATCH(TRUE,LEN(comb_notes_inkind[[#This Row],[Empty line]:[No organisation name]])&gt;0,0)),"")</f>
        <v/>
      </c>
      <c r="C680" s="113" t="str">
        <f>IFERROR(IF(AND(LEN(INDEX(#REF!,$A680))+LEN(INDEX(#REF!,$A680))+LEN(INDEX(#REF!,$A680))+LEN(INDEX(#REF!,$A680))&gt;0,LEN(INDEX(#REF!,$A680-1))+LEN(INDEX(#REF!,$A680-1))+LEN(INDEX(#REF!,$A680-1))+LEN(INDEX(#REF!,$A680-1))=0),$B$127,""),"")</f>
        <v/>
      </c>
      <c r="D680" s="113" t="e">
        <f>IF(AND(INDEX(#REF!,$A680)&gt;0,LEN(INDEX(#REF!,$A680))=0,cofunding_inkind_def_rates="yes"),$B$183,"")</f>
        <v>#REF!</v>
      </c>
      <c r="E680" s="113" t="e">
        <f>IF(AND(INDEX(#REF!,$A680)&gt;0,LEN(INDEX(#REF!,$A680))=0,cofunding_inkind_def_rates="yes"),$B$183,"")</f>
        <v>#REF!</v>
      </c>
      <c r="F680" s="113" t="e">
        <f>IF(AND(INDEX(#REF!,$A680)="Junior",INDEX(#REF!,$A680)&gt;cofunding_junior_rate),$B$186,IF(AND(INDEX(#REF!,$A680)="Senior",INDEX(#REF!,$A680)&gt;cofunding_senior_rate),$B$187,""))</f>
        <v>#REF!</v>
      </c>
      <c r="G680" s="113" t="e">
        <f>IF(AND(INDEX(#REF!,$A680)="Materials",LEN(INDEX(#REF!,$A680))&gt;0),$B$184,"")</f>
        <v>#REF!</v>
      </c>
      <c r="H680" s="113" t="e">
        <f>IF(AND(INDEX(#REF!,$A680)&gt;0,LEN(INDEX(#REF!,$A680))=0),$B$175,"")</f>
        <v>#REF!</v>
      </c>
      <c r="I680" s="113" t="e">
        <f>IF(AND(INDEX(#REF!,$A680)&gt;0,LEN(INDEX(#REF!,$A680))=0),$B$176,"")</f>
        <v>#REF!</v>
      </c>
    </row>
    <row r="681" spans="1:9" ht="12" customHeight="1" x14ac:dyDescent="0.35">
      <c r="A681" s="256">
        <v>59</v>
      </c>
      <c r="B681" s="113" t="str">
        <f t="array" ref="B681">IFERROR(INDEX(comb_notes_inkind[[#This Row],[Empty line]:[No organisation name]],1,MATCH(TRUE,LEN(comb_notes_inkind[[#This Row],[Empty line]:[No organisation name]])&gt;0,0)),"")</f>
        <v/>
      </c>
      <c r="C681" s="113" t="str">
        <f>IFERROR(IF(AND(LEN(INDEX(#REF!,$A681))+LEN(INDEX(#REF!,$A681))+LEN(INDEX(#REF!,$A681))+LEN(INDEX(#REF!,$A681))&gt;0,LEN(INDEX(#REF!,$A681-1))+LEN(INDEX(#REF!,$A681-1))+LEN(INDEX(#REF!,$A681-1))+LEN(INDEX(#REF!,$A681-1))=0),$B$127,""),"")</f>
        <v/>
      </c>
      <c r="D681" s="113" t="e">
        <f>IF(AND(INDEX(#REF!,$A681)&gt;0,LEN(INDEX(#REF!,$A681))=0,cofunding_inkind_def_rates="yes"),$B$183,"")</f>
        <v>#REF!</v>
      </c>
      <c r="E681" s="113" t="e">
        <f>IF(AND(INDEX(#REF!,$A681)&gt;0,LEN(INDEX(#REF!,$A681))=0,cofunding_inkind_def_rates="yes"),$B$183,"")</f>
        <v>#REF!</v>
      </c>
      <c r="F681" s="113" t="e">
        <f>IF(AND(INDEX(#REF!,$A681)="Junior",INDEX(#REF!,$A681)&gt;cofunding_junior_rate),$B$186,IF(AND(INDEX(#REF!,$A681)="Senior",INDEX(#REF!,$A681)&gt;cofunding_senior_rate),$B$187,""))</f>
        <v>#REF!</v>
      </c>
      <c r="G681" s="113" t="e">
        <f>IF(AND(INDEX(#REF!,$A681)="Materials",LEN(INDEX(#REF!,$A681))&gt;0),$B$184,"")</f>
        <v>#REF!</v>
      </c>
      <c r="H681" s="113" t="e">
        <f>IF(AND(INDEX(#REF!,$A681)&gt;0,LEN(INDEX(#REF!,$A681))=0),$B$175,"")</f>
        <v>#REF!</v>
      </c>
      <c r="I681" s="113" t="e">
        <f>IF(AND(INDEX(#REF!,$A681)&gt;0,LEN(INDEX(#REF!,$A681))=0),$B$176,"")</f>
        <v>#REF!</v>
      </c>
    </row>
    <row r="682" spans="1:9" ht="12" customHeight="1" x14ac:dyDescent="0.35">
      <c r="A682" s="256">
        <v>60</v>
      </c>
      <c r="B682" s="113" t="str">
        <f t="array" ref="B682">IFERROR(INDEX(comb_notes_inkind[[#This Row],[Empty line]:[No organisation name]],1,MATCH(TRUE,LEN(comb_notes_inkind[[#This Row],[Empty line]:[No organisation name]])&gt;0,0)),"")</f>
        <v/>
      </c>
      <c r="C682" s="113" t="str">
        <f>IFERROR(IF(AND(LEN(INDEX(#REF!,$A682))+LEN(INDEX(#REF!,$A682))+LEN(INDEX(#REF!,$A682))+LEN(INDEX(#REF!,$A682))&gt;0,LEN(INDEX(#REF!,$A682-1))+LEN(INDEX(#REF!,$A682-1))+LEN(INDEX(#REF!,$A682-1))+LEN(INDEX(#REF!,$A682-1))=0),$B$127,""),"")</f>
        <v/>
      </c>
      <c r="D682" s="113" t="e">
        <f>IF(AND(INDEX(#REF!,$A682)&gt;0,LEN(INDEX(#REF!,$A682))=0,cofunding_inkind_def_rates="yes"),$B$183,"")</f>
        <v>#REF!</v>
      </c>
      <c r="E682" s="113" t="e">
        <f>IF(AND(INDEX(#REF!,$A682)&gt;0,LEN(INDEX(#REF!,$A682))=0,cofunding_inkind_def_rates="yes"),$B$183,"")</f>
        <v>#REF!</v>
      </c>
      <c r="F682" s="113" t="e">
        <f>IF(AND(INDEX(#REF!,$A682)="Junior",INDEX(#REF!,$A682)&gt;cofunding_junior_rate),$B$186,IF(AND(INDEX(#REF!,$A682)="Senior",INDEX(#REF!,$A682)&gt;cofunding_senior_rate),$B$187,""))</f>
        <v>#REF!</v>
      </c>
      <c r="G682" s="113" t="e">
        <f>IF(AND(INDEX(#REF!,$A682)="Materials",LEN(INDEX(#REF!,$A682))&gt;0),$B$184,"")</f>
        <v>#REF!</v>
      </c>
      <c r="H682" s="113" t="e">
        <f>IF(AND(INDEX(#REF!,$A682)&gt;0,LEN(INDEX(#REF!,$A682))=0),$B$175,"")</f>
        <v>#REF!</v>
      </c>
      <c r="I682" s="113" t="e">
        <f>IF(AND(INDEX(#REF!,$A682)&gt;0,LEN(INDEX(#REF!,$A682))=0),$B$176,"")</f>
        <v>#REF!</v>
      </c>
    </row>
    <row r="683" spans="1:9" ht="12" customHeight="1" x14ac:dyDescent="0.35">
      <c r="A683" s="256">
        <v>61</v>
      </c>
      <c r="B683" s="113" t="str">
        <f t="array" ref="B683">IFERROR(INDEX(comb_notes_inkind[[#This Row],[Empty line]:[No organisation name]],1,MATCH(TRUE,LEN(comb_notes_inkind[[#This Row],[Empty line]:[No organisation name]])&gt;0,0)),"")</f>
        <v/>
      </c>
      <c r="C683" s="113" t="str">
        <f>IFERROR(IF(AND(LEN(INDEX(#REF!,$A683))+LEN(INDEX(#REF!,$A683))+LEN(INDEX(#REF!,$A683))+LEN(INDEX(#REF!,$A683))&gt;0,LEN(INDEX(#REF!,$A683-1))+LEN(INDEX(#REF!,$A683-1))+LEN(INDEX(#REF!,$A683-1))+LEN(INDEX(#REF!,$A683-1))=0),$B$127,""),"")</f>
        <v/>
      </c>
      <c r="D683" s="113" t="e">
        <f>IF(AND(INDEX(#REF!,$A683)&gt;0,LEN(INDEX(#REF!,$A683))=0,cofunding_inkind_def_rates="yes"),$B$183,"")</f>
        <v>#REF!</v>
      </c>
      <c r="E683" s="113" t="e">
        <f>IF(AND(INDEX(#REF!,$A683)&gt;0,LEN(INDEX(#REF!,$A683))=0,cofunding_inkind_def_rates="yes"),$B$183,"")</f>
        <v>#REF!</v>
      </c>
      <c r="F683" s="113" t="e">
        <f>IF(AND(INDEX(#REF!,$A683)="Junior",INDEX(#REF!,$A683)&gt;cofunding_junior_rate),$B$186,IF(AND(INDEX(#REF!,$A683)="Senior",INDEX(#REF!,$A683)&gt;cofunding_senior_rate),$B$187,""))</f>
        <v>#REF!</v>
      </c>
      <c r="G683" s="113" t="e">
        <f>IF(AND(INDEX(#REF!,$A683)="Materials",LEN(INDEX(#REF!,$A683))&gt;0),$B$184,"")</f>
        <v>#REF!</v>
      </c>
      <c r="H683" s="113" t="e">
        <f>IF(AND(INDEX(#REF!,$A683)&gt;0,LEN(INDEX(#REF!,$A683))=0),$B$175,"")</f>
        <v>#REF!</v>
      </c>
      <c r="I683" s="113" t="e">
        <f>IF(AND(INDEX(#REF!,$A683)&gt;0,LEN(INDEX(#REF!,$A683))=0),$B$176,"")</f>
        <v>#REF!</v>
      </c>
    </row>
    <row r="684" spans="1:9" ht="12" customHeight="1" x14ac:dyDescent="0.35">
      <c r="A684" s="256">
        <v>62</v>
      </c>
      <c r="B684" s="113" t="str">
        <f t="array" ref="B684">IFERROR(INDEX(comb_notes_inkind[[#This Row],[Empty line]:[No organisation name]],1,MATCH(TRUE,LEN(comb_notes_inkind[[#This Row],[Empty line]:[No organisation name]])&gt;0,0)),"")</f>
        <v/>
      </c>
      <c r="C684" s="113" t="str">
        <f>IFERROR(IF(AND(LEN(INDEX(#REF!,$A684))+LEN(INDEX(#REF!,$A684))+LEN(INDEX(#REF!,$A684))+LEN(INDEX(#REF!,$A684))&gt;0,LEN(INDEX(#REF!,$A684-1))+LEN(INDEX(#REF!,$A684-1))+LEN(INDEX(#REF!,$A684-1))+LEN(INDEX(#REF!,$A684-1))=0),$B$127,""),"")</f>
        <v/>
      </c>
      <c r="D684" s="113" t="e">
        <f>IF(AND(INDEX(#REF!,$A684)&gt;0,LEN(INDEX(#REF!,$A684))=0,cofunding_inkind_def_rates="yes"),$B$183,"")</f>
        <v>#REF!</v>
      </c>
      <c r="E684" s="113" t="e">
        <f>IF(AND(INDEX(#REF!,$A684)&gt;0,LEN(INDEX(#REF!,$A684))=0,cofunding_inkind_def_rates="yes"),$B$183,"")</f>
        <v>#REF!</v>
      </c>
      <c r="F684" s="113" t="e">
        <f>IF(AND(INDEX(#REF!,$A684)="Junior",INDEX(#REF!,$A684)&gt;cofunding_junior_rate),$B$186,IF(AND(INDEX(#REF!,$A684)="Senior",INDEX(#REF!,$A684)&gt;cofunding_senior_rate),$B$187,""))</f>
        <v>#REF!</v>
      </c>
      <c r="G684" s="113" t="e">
        <f>IF(AND(INDEX(#REF!,$A684)="Materials",LEN(INDEX(#REF!,$A684))&gt;0),$B$184,"")</f>
        <v>#REF!</v>
      </c>
      <c r="H684" s="113" t="e">
        <f>IF(AND(INDEX(#REF!,$A684)&gt;0,LEN(INDEX(#REF!,$A684))=0),$B$175,"")</f>
        <v>#REF!</v>
      </c>
      <c r="I684" s="113" t="e">
        <f>IF(AND(INDEX(#REF!,$A684)&gt;0,LEN(INDEX(#REF!,$A684))=0),$B$176,"")</f>
        <v>#REF!</v>
      </c>
    </row>
    <row r="685" spans="1:9" ht="12" customHeight="1" x14ac:dyDescent="0.35">
      <c r="A685" s="256">
        <v>63</v>
      </c>
      <c r="B685" s="113" t="str">
        <f t="array" ref="B685">IFERROR(INDEX(comb_notes_inkind[[#This Row],[Empty line]:[No organisation name]],1,MATCH(TRUE,LEN(comb_notes_inkind[[#This Row],[Empty line]:[No organisation name]])&gt;0,0)),"")</f>
        <v/>
      </c>
      <c r="C685" s="113" t="str">
        <f>IFERROR(IF(AND(LEN(INDEX(#REF!,$A685))+LEN(INDEX(#REF!,$A685))+LEN(INDEX(#REF!,$A685))+LEN(INDEX(#REF!,$A685))&gt;0,LEN(INDEX(#REF!,$A685-1))+LEN(INDEX(#REF!,$A685-1))+LEN(INDEX(#REF!,$A685-1))+LEN(INDEX(#REF!,$A685-1))=0),$B$127,""),"")</f>
        <v/>
      </c>
      <c r="D685" s="113" t="e">
        <f>IF(AND(INDEX(#REF!,$A685)&gt;0,LEN(INDEX(#REF!,$A685))=0,cofunding_inkind_def_rates="yes"),$B$183,"")</f>
        <v>#REF!</v>
      </c>
      <c r="E685" s="113" t="e">
        <f>IF(AND(INDEX(#REF!,$A685)&gt;0,LEN(INDEX(#REF!,$A685))=0,cofunding_inkind_def_rates="yes"),$B$183,"")</f>
        <v>#REF!</v>
      </c>
      <c r="F685" s="113" t="e">
        <f>IF(AND(INDEX(#REF!,$A685)="Junior",INDEX(#REF!,$A685)&gt;cofunding_junior_rate),$B$186,IF(AND(INDEX(#REF!,$A685)="Senior",INDEX(#REF!,$A685)&gt;cofunding_senior_rate),$B$187,""))</f>
        <v>#REF!</v>
      </c>
      <c r="G685" s="113" t="e">
        <f>IF(AND(INDEX(#REF!,$A685)="Materials",LEN(INDEX(#REF!,$A685))&gt;0),$B$184,"")</f>
        <v>#REF!</v>
      </c>
      <c r="H685" s="113" t="e">
        <f>IF(AND(INDEX(#REF!,$A685)&gt;0,LEN(INDEX(#REF!,$A685))=0),$B$175,"")</f>
        <v>#REF!</v>
      </c>
      <c r="I685" s="113" t="e">
        <f>IF(AND(INDEX(#REF!,$A685)&gt;0,LEN(INDEX(#REF!,$A685))=0),$B$176,"")</f>
        <v>#REF!</v>
      </c>
    </row>
    <row r="686" spans="1:9" ht="12" customHeight="1" x14ac:dyDescent="0.35">
      <c r="A686" s="256">
        <v>64</v>
      </c>
      <c r="B686" s="113" t="str">
        <f t="array" ref="B686">IFERROR(INDEX(comb_notes_inkind[[#This Row],[Empty line]:[No organisation name]],1,MATCH(TRUE,LEN(comb_notes_inkind[[#This Row],[Empty line]:[No organisation name]])&gt;0,0)),"")</f>
        <v/>
      </c>
      <c r="C686" s="113" t="str">
        <f>IFERROR(IF(AND(LEN(INDEX(#REF!,$A686))+LEN(INDEX(#REF!,$A686))+LEN(INDEX(#REF!,$A686))+LEN(INDEX(#REF!,$A686))&gt;0,LEN(INDEX(#REF!,$A686-1))+LEN(INDEX(#REF!,$A686-1))+LEN(INDEX(#REF!,$A686-1))+LEN(INDEX(#REF!,$A686-1))=0),$B$127,""),"")</f>
        <v/>
      </c>
      <c r="D686" s="113" t="e">
        <f>IF(AND(INDEX(#REF!,$A686)&gt;0,LEN(INDEX(#REF!,$A686))=0,cofunding_inkind_def_rates="yes"),$B$183,"")</f>
        <v>#REF!</v>
      </c>
      <c r="E686" s="113" t="e">
        <f>IF(AND(INDEX(#REF!,$A686)&gt;0,LEN(INDEX(#REF!,$A686))=0,cofunding_inkind_def_rates="yes"),$B$183,"")</f>
        <v>#REF!</v>
      </c>
      <c r="F686" s="113" t="e">
        <f>IF(AND(INDEX(#REF!,$A686)="Junior",INDEX(#REF!,$A686)&gt;cofunding_junior_rate),$B$186,IF(AND(INDEX(#REF!,$A686)="Senior",INDEX(#REF!,$A686)&gt;cofunding_senior_rate),$B$187,""))</f>
        <v>#REF!</v>
      </c>
      <c r="G686" s="113" t="e">
        <f>IF(AND(INDEX(#REF!,$A686)="Materials",LEN(INDEX(#REF!,$A686))&gt;0),$B$184,"")</f>
        <v>#REF!</v>
      </c>
      <c r="H686" s="113" t="e">
        <f>IF(AND(INDEX(#REF!,$A686)&gt;0,LEN(INDEX(#REF!,$A686))=0),$B$175,"")</f>
        <v>#REF!</v>
      </c>
      <c r="I686" s="113" t="e">
        <f>IF(AND(INDEX(#REF!,$A686)&gt;0,LEN(INDEX(#REF!,$A686))=0),$B$176,"")</f>
        <v>#REF!</v>
      </c>
    </row>
    <row r="687" spans="1:9" ht="12" customHeight="1" x14ac:dyDescent="0.35">
      <c r="A687" s="256">
        <v>65</v>
      </c>
      <c r="B687" s="113" t="str">
        <f t="array" ref="B687">IFERROR(INDEX(comb_notes_inkind[[#This Row],[Empty line]:[No organisation name]],1,MATCH(TRUE,LEN(comb_notes_inkind[[#This Row],[Empty line]:[No organisation name]])&gt;0,0)),"")</f>
        <v/>
      </c>
      <c r="C687" s="113" t="str">
        <f>IFERROR(IF(AND(LEN(INDEX(#REF!,$A687))+LEN(INDEX(#REF!,$A687))+LEN(INDEX(#REF!,$A687))+LEN(INDEX(#REF!,$A687))&gt;0,LEN(INDEX(#REF!,$A687-1))+LEN(INDEX(#REF!,$A687-1))+LEN(INDEX(#REF!,$A687-1))+LEN(INDEX(#REF!,$A687-1))=0),$B$127,""),"")</f>
        <v/>
      </c>
      <c r="D687" s="113" t="e">
        <f>IF(AND(INDEX(#REF!,$A687)&gt;0,LEN(INDEX(#REF!,$A687))=0,cofunding_inkind_def_rates="yes"),$B$183,"")</f>
        <v>#REF!</v>
      </c>
      <c r="E687" s="113" t="e">
        <f>IF(AND(INDEX(#REF!,$A687)&gt;0,LEN(INDEX(#REF!,$A687))=0,cofunding_inkind_def_rates="yes"),$B$183,"")</f>
        <v>#REF!</v>
      </c>
      <c r="F687" s="113" t="e">
        <f>IF(AND(INDEX(#REF!,$A687)="Junior",INDEX(#REF!,$A687)&gt;cofunding_junior_rate),$B$186,IF(AND(INDEX(#REF!,$A687)="Senior",INDEX(#REF!,$A687)&gt;cofunding_senior_rate),$B$187,""))</f>
        <v>#REF!</v>
      </c>
      <c r="G687" s="113" t="e">
        <f>IF(AND(INDEX(#REF!,$A687)="Materials",LEN(INDEX(#REF!,$A687))&gt;0),$B$184,"")</f>
        <v>#REF!</v>
      </c>
      <c r="H687" s="113" t="e">
        <f>IF(AND(INDEX(#REF!,$A687)&gt;0,LEN(INDEX(#REF!,$A687))=0),$B$175,"")</f>
        <v>#REF!</v>
      </c>
      <c r="I687" s="113" t="e">
        <f>IF(AND(INDEX(#REF!,$A687)&gt;0,LEN(INDEX(#REF!,$A687))=0),$B$176,"")</f>
        <v>#REF!</v>
      </c>
    </row>
    <row r="688" spans="1:9" ht="12" customHeight="1" x14ac:dyDescent="0.35">
      <c r="A688" s="256">
        <v>66</v>
      </c>
      <c r="B688" s="113" t="str">
        <f t="array" ref="B688">IFERROR(INDEX(comb_notes_inkind[[#This Row],[Empty line]:[No organisation name]],1,MATCH(TRUE,LEN(comb_notes_inkind[[#This Row],[Empty line]:[No organisation name]])&gt;0,0)),"")</f>
        <v/>
      </c>
      <c r="C688" s="113" t="str">
        <f>IFERROR(IF(AND(LEN(INDEX(#REF!,$A688))+LEN(INDEX(#REF!,$A688))+LEN(INDEX(#REF!,$A688))+LEN(INDEX(#REF!,$A688))&gt;0,LEN(INDEX(#REF!,$A688-1))+LEN(INDEX(#REF!,$A688-1))+LEN(INDEX(#REF!,$A688-1))+LEN(INDEX(#REF!,$A688-1))=0),$B$127,""),"")</f>
        <v/>
      </c>
      <c r="D688" s="113" t="e">
        <f>IF(AND(INDEX(#REF!,$A688)&gt;0,LEN(INDEX(#REF!,$A688))=0,cofunding_inkind_def_rates="yes"),$B$183,"")</f>
        <v>#REF!</v>
      </c>
      <c r="E688" s="113" t="e">
        <f>IF(AND(INDEX(#REF!,$A688)&gt;0,LEN(INDEX(#REF!,$A688))=0,cofunding_inkind_def_rates="yes"),$B$183,"")</f>
        <v>#REF!</v>
      </c>
      <c r="F688" s="113" t="e">
        <f>IF(AND(INDEX(#REF!,$A688)="Junior",INDEX(#REF!,$A688)&gt;cofunding_junior_rate),$B$186,IF(AND(INDEX(#REF!,$A688)="Senior",INDEX(#REF!,$A688)&gt;cofunding_senior_rate),$B$187,""))</f>
        <v>#REF!</v>
      </c>
      <c r="G688" s="113" t="e">
        <f>IF(AND(INDEX(#REF!,$A688)="Materials",LEN(INDEX(#REF!,$A688))&gt;0),$B$184,"")</f>
        <v>#REF!</v>
      </c>
      <c r="H688" s="113" t="e">
        <f>IF(AND(INDEX(#REF!,$A688)&gt;0,LEN(INDEX(#REF!,$A688))=0),$B$175,"")</f>
        <v>#REF!</v>
      </c>
      <c r="I688" s="113" t="e">
        <f>IF(AND(INDEX(#REF!,$A688)&gt;0,LEN(INDEX(#REF!,$A688))=0),$B$176,"")</f>
        <v>#REF!</v>
      </c>
    </row>
    <row r="689" spans="1:9" ht="12" customHeight="1" x14ac:dyDescent="0.35">
      <c r="A689" s="256">
        <v>67</v>
      </c>
      <c r="B689" s="113" t="str">
        <f t="array" ref="B689">IFERROR(INDEX(comb_notes_inkind[[#This Row],[Empty line]:[No organisation name]],1,MATCH(TRUE,LEN(comb_notes_inkind[[#This Row],[Empty line]:[No organisation name]])&gt;0,0)),"")</f>
        <v/>
      </c>
      <c r="C689" s="113" t="str">
        <f>IFERROR(IF(AND(LEN(INDEX(#REF!,$A689))+LEN(INDEX(#REF!,$A689))+LEN(INDEX(#REF!,$A689))+LEN(INDEX(#REF!,$A689))&gt;0,LEN(INDEX(#REF!,$A689-1))+LEN(INDEX(#REF!,$A689-1))+LEN(INDEX(#REF!,$A689-1))+LEN(INDEX(#REF!,$A689-1))=0),$B$127,""),"")</f>
        <v/>
      </c>
      <c r="D689" s="113" t="e">
        <f>IF(AND(INDEX(#REF!,$A689)&gt;0,LEN(INDEX(#REF!,$A689))=0,cofunding_inkind_def_rates="yes"),$B$183,"")</f>
        <v>#REF!</v>
      </c>
      <c r="E689" s="113" t="e">
        <f>IF(AND(INDEX(#REF!,$A689)&gt;0,LEN(INDEX(#REF!,$A689))=0,cofunding_inkind_def_rates="yes"),$B$183,"")</f>
        <v>#REF!</v>
      </c>
      <c r="F689" s="113" t="e">
        <f>IF(AND(INDEX(#REF!,$A689)="Junior",INDEX(#REF!,$A689)&gt;cofunding_junior_rate),$B$186,IF(AND(INDEX(#REF!,$A689)="Senior",INDEX(#REF!,$A689)&gt;cofunding_senior_rate),$B$187,""))</f>
        <v>#REF!</v>
      </c>
      <c r="G689" s="113" t="e">
        <f>IF(AND(INDEX(#REF!,$A689)="Materials",LEN(INDEX(#REF!,$A689))&gt;0),$B$184,"")</f>
        <v>#REF!</v>
      </c>
      <c r="H689" s="113" t="e">
        <f>IF(AND(INDEX(#REF!,$A689)&gt;0,LEN(INDEX(#REF!,$A689))=0),$B$175,"")</f>
        <v>#REF!</v>
      </c>
      <c r="I689" s="113" t="e">
        <f>IF(AND(INDEX(#REF!,$A689)&gt;0,LEN(INDEX(#REF!,$A689))=0),$B$176,"")</f>
        <v>#REF!</v>
      </c>
    </row>
    <row r="690" spans="1:9" ht="12" customHeight="1" x14ac:dyDescent="0.35">
      <c r="A690" s="256">
        <v>68</v>
      </c>
      <c r="B690" s="113" t="str">
        <f t="array" ref="B690">IFERROR(INDEX(comb_notes_inkind[[#This Row],[Empty line]:[No organisation name]],1,MATCH(TRUE,LEN(comb_notes_inkind[[#This Row],[Empty line]:[No organisation name]])&gt;0,0)),"")</f>
        <v/>
      </c>
      <c r="C690" s="113" t="str">
        <f>IFERROR(IF(AND(LEN(INDEX(#REF!,$A690))+LEN(INDEX(#REF!,$A690))+LEN(INDEX(#REF!,$A690))+LEN(INDEX(#REF!,$A690))&gt;0,LEN(INDEX(#REF!,$A690-1))+LEN(INDEX(#REF!,$A690-1))+LEN(INDEX(#REF!,$A690-1))+LEN(INDEX(#REF!,$A690-1))=0),$B$127,""),"")</f>
        <v/>
      </c>
      <c r="D690" s="113" t="e">
        <f>IF(AND(INDEX(#REF!,$A690)&gt;0,LEN(INDEX(#REF!,$A690))=0,cofunding_inkind_def_rates="yes"),$B$183,"")</f>
        <v>#REF!</v>
      </c>
      <c r="E690" s="113" t="e">
        <f>IF(AND(INDEX(#REF!,$A690)&gt;0,LEN(INDEX(#REF!,$A690))=0,cofunding_inkind_def_rates="yes"),$B$183,"")</f>
        <v>#REF!</v>
      </c>
      <c r="F690" s="113" t="e">
        <f>IF(AND(INDEX(#REF!,$A690)="Junior",INDEX(#REF!,$A690)&gt;cofunding_junior_rate),$B$186,IF(AND(INDEX(#REF!,$A690)="Senior",INDEX(#REF!,$A690)&gt;cofunding_senior_rate),$B$187,""))</f>
        <v>#REF!</v>
      </c>
      <c r="G690" s="113" t="e">
        <f>IF(AND(INDEX(#REF!,$A690)="Materials",LEN(INDEX(#REF!,$A690))&gt;0),$B$184,"")</f>
        <v>#REF!</v>
      </c>
      <c r="H690" s="113" t="e">
        <f>IF(AND(INDEX(#REF!,$A690)&gt;0,LEN(INDEX(#REF!,$A690))=0),$B$175,"")</f>
        <v>#REF!</v>
      </c>
      <c r="I690" s="113" t="e">
        <f>IF(AND(INDEX(#REF!,$A690)&gt;0,LEN(INDEX(#REF!,$A690))=0),$B$176,"")</f>
        <v>#REF!</v>
      </c>
    </row>
    <row r="691" spans="1:9" ht="12" customHeight="1" x14ac:dyDescent="0.35">
      <c r="A691" s="256">
        <v>69</v>
      </c>
      <c r="B691" s="113" t="str">
        <f t="array" ref="B691">IFERROR(INDEX(comb_notes_inkind[[#This Row],[Empty line]:[No organisation name]],1,MATCH(TRUE,LEN(comb_notes_inkind[[#This Row],[Empty line]:[No organisation name]])&gt;0,0)),"")</f>
        <v/>
      </c>
      <c r="C691" s="113" t="str">
        <f>IFERROR(IF(AND(LEN(INDEX(#REF!,$A691))+LEN(INDEX(#REF!,$A691))+LEN(INDEX(#REF!,$A691))+LEN(INDEX(#REF!,$A691))&gt;0,LEN(INDEX(#REF!,$A691-1))+LEN(INDEX(#REF!,$A691-1))+LEN(INDEX(#REF!,$A691-1))+LEN(INDEX(#REF!,$A691-1))=0),$B$127,""),"")</f>
        <v/>
      </c>
      <c r="D691" s="113" t="e">
        <f>IF(AND(INDEX(#REF!,$A691)&gt;0,LEN(INDEX(#REF!,$A691))=0,cofunding_inkind_def_rates="yes"),$B$183,"")</f>
        <v>#REF!</v>
      </c>
      <c r="E691" s="113" t="e">
        <f>IF(AND(INDEX(#REF!,$A691)&gt;0,LEN(INDEX(#REF!,$A691))=0,cofunding_inkind_def_rates="yes"),$B$183,"")</f>
        <v>#REF!</v>
      </c>
      <c r="F691" s="113" t="e">
        <f>IF(AND(INDEX(#REF!,$A691)="Junior",INDEX(#REF!,$A691)&gt;cofunding_junior_rate),$B$186,IF(AND(INDEX(#REF!,$A691)="Senior",INDEX(#REF!,$A691)&gt;cofunding_senior_rate),$B$187,""))</f>
        <v>#REF!</v>
      </c>
      <c r="G691" s="113" t="e">
        <f>IF(AND(INDEX(#REF!,$A691)="Materials",LEN(INDEX(#REF!,$A691))&gt;0),$B$184,"")</f>
        <v>#REF!</v>
      </c>
      <c r="H691" s="113" t="e">
        <f>IF(AND(INDEX(#REF!,$A691)&gt;0,LEN(INDEX(#REF!,$A691))=0),$B$175,"")</f>
        <v>#REF!</v>
      </c>
      <c r="I691" s="113" t="e">
        <f>IF(AND(INDEX(#REF!,$A691)&gt;0,LEN(INDEX(#REF!,$A691))=0),$B$176,"")</f>
        <v>#REF!</v>
      </c>
    </row>
    <row r="692" spans="1:9" ht="12" customHeight="1" x14ac:dyDescent="0.35">
      <c r="A692" s="256">
        <v>70</v>
      </c>
      <c r="B692" s="113" t="str">
        <f t="array" ref="B692">IFERROR(INDEX(comb_notes_inkind[[#This Row],[Empty line]:[No organisation name]],1,MATCH(TRUE,LEN(comb_notes_inkind[[#This Row],[Empty line]:[No organisation name]])&gt;0,0)),"")</f>
        <v/>
      </c>
      <c r="C692" s="113" t="str">
        <f>IFERROR(IF(AND(LEN(INDEX(#REF!,$A692))+LEN(INDEX(#REF!,$A692))+LEN(INDEX(#REF!,$A692))+LEN(INDEX(#REF!,$A692))&gt;0,LEN(INDEX(#REF!,$A692-1))+LEN(INDEX(#REF!,$A692-1))+LEN(INDEX(#REF!,$A692-1))+LEN(INDEX(#REF!,$A692-1))=0),$B$127,""),"")</f>
        <v/>
      </c>
      <c r="D692" s="113" t="e">
        <f>IF(AND(INDEX(#REF!,$A692)&gt;0,LEN(INDEX(#REF!,$A692))=0,cofunding_inkind_def_rates="yes"),$B$183,"")</f>
        <v>#REF!</v>
      </c>
      <c r="E692" s="113" t="e">
        <f>IF(AND(INDEX(#REF!,$A692)&gt;0,LEN(INDEX(#REF!,$A692))=0,cofunding_inkind_def_rates="yes"),$B$183,"")</f>
        <v>#REF!</v>
      </c>
      <c r="F692" s="113" t="e">
        <f>IF(AND(INDEX(#REF!,$A692)="Junior",INDEX(#REF!,$A692)&gt;cofunding_junior_rate),$B$186,IF(AND(INDEX(#REF!,$A692)="Senior",INDEX(#REF!,$A692)&gt;cofunding_senior_rate),$B$187,""))</f>
        <v>#REF!</v>
      </c>
      <c r="G692" s="113" t="e">
        <f>IF(AND(INDEX(#REF!,$A692)="Materials",LEN(INDEX(#REF!,$A692))&gt;0),$B$184,"")</f>
        <v>#REF!</v>
      </c>
      <c r="H692" s="113" t="e">
        <f>IF(AND(INDEX(#REF!,$A692)&gt;0,LEN(INDEX(#REF!,$A692))=0),$B$175,"")</f>
        <v>#REF!</v>
      </c>
      <c r="I692" s="113" t="e">
        <f>IF(AND(INDEX(#REF!,$A692)&gt;0,LEN(INDEX(#REF!,$A692))=0),$B$176,"")</f>
        <v>#REF!</v>
      </c>
    </row>
    <row r="693" spans="1:9" ht="12" customHeight="1" x14ac:dyDescent="0.35">
      <c r="A693" s="256">
        <v>71</v>
      </c>
      <c r="B693" s="113" t="str">
        <f t="array" ref="B693">IFERROR(INDEX(comb_notes_inkind[[#This Row],[Empty line]:[No organisation name]],1,MATCH(TRUE,LEN(comb_notes_inkind[[#This Row],[Empty line]:[No organisation name]])&gt;0,0)),"")</f>
        <v/>
      </c>
      <c r="C693" s="113" t="str">
        <f>IFERROR(IF(AND(LEN(INDEX(#REF!,$A693))+LEN(INDEX(#REF!,$A693))+LEN(INDEX(#REF!,$A693))+LEN(INDEX(#REF!,$A693))&gt;0,LEN(INDEX(#REF!,$A693-1))+LEN(INDEX(#REF!,$A693-1))+LEN(INDEX(#REF!,$A693-1))+LEN(INDEX(#REF!,$A693-1))=0),$B$127,""),"")</f>
        <v/>
      </c>
      <c r="D693" s="113" t="e">
        <f>IF(AND(INDEX(#REF!,$A693)&gt;0,LEN(INDEX(#REF!,$A693))=0,cofunding_inkind_def_rates="yes"),$B$183,"")</f>
        <v>#REF!</v>
      </c>
      <c r="E693" s="113" t="e">
        <f>IF(AND(INDEX(#REF!,$A693)&gt;0,LEN(INDEX(#REF!,$A693))=0,cofunding_inkind_def_rates="yes"),$B$183,"")</f>
        <v>#REF!</v>
      </c>
      <c r="F693" s="113" t="e">
        <f>IF(AND(INDEX(#REF!,$A693)="Junior",INDEX(#REF!,$A693)&gt;cofunding_junior_rate),$B$186,IF(AND(INDEX(#REF!,$A693)="Senior",INDEX(#REF!,$A693)&gt;cofunding_senior_rate),$B$187,""))</f>
        <v>#REF!</v>
      </c>
      <c r="G693" s="113" t="e">
        <f>IF(AND(INDEX(#REF!,$A693)="Materials",LEN(INDEX(#REF!,$A693))&gt;0),$B$184,"")</f>
        <v>#REF!</v>
      </c>
      <c r="H693" s="113" t="e">
        <f>IF(AND(INDEX(#REF!,$A693)&gt;0,LEN(INDEX(#REF!,$A693))=0),$B$175,"")</f>
        <v>#REF!</v>
      </c>
      <c r="I693" s="113" t="e">
        <f>IF(AND(INDEX(#REF!,$A693)&gt;0,LEN(INDEX(#REF!,$A693))=0),$B$176,"")</f>
        <v>#REF!</v>
      </c>
    </row>
    <row r="694" spans="1:9" ht="12" customHeight="1" x14ac:dyDescent="0.35">
      <c r="A694" s="256">
        <v>72</v>
      </c>
      <c r="B694" s="113" t="str">
        <f t="array" ref="B694">IFERROR(INDEX(comb_notes_inkind[[#This Row],[Empty line]:[No organisation name]],1,MATCH(TRUE,LEN(comb_notes_inkind[[#This Row],[Empty line]:[No organisation name]])&gt;0,0)),"")</f>
        <v/>
      </c>
      <c r="C694" s="113" t="str">
        <f>IFERROR(IF(AND(LEN(INDEX(#REF!,$A694))+LEN(INDEX(#REF!,$A694))+LEN(INDEX(#REF!,$A694))+LEN(INDEX(#REF!,$A694))&gt;0,LEN(INDEX(#REF!,$A694-1))+LEN(INDEX(#REF!,$A694-1))+LEN(INDEX(#REF!,$A694-1))+LEN(INDEX(#REF!,$A694-1))=0),$B$127,""),"")</f>
        <v/>
      </c>
      <c r="D694" s="113" t="e">
        <f>IF(AND(INDEX(#REF!,$A694)&gt;0,LEN(INDEX(#REF!,$A694))=0,cofunding_inkind_def_rates="yes"),$B$183,"")</f>
        <v>#REF!</v>
      </c>
      <c r="E694" s="113" t="e">
        <f>IF(AND(INDEX(#REF!,$A694)&gt;0,LEN(INDEX(#REF!,$A694))=0,cofunding_inkind_def_rates="yes"),$B$183,"")</f>
        <v>#REF!</v>
      </c>
      <c r="F694" s="113" t="e">
        <f>IF(AND(INDEX(#REF!,$A694)="Junior",INDEX(#REF!,$A694)&gt;cofunding_junior_rate),$B$186,IF(AND(INDEX(#REF!,$A694)="Senior",INDEX(#REF!,$A694)&gt;cofunding_senior_rate),$B$187,""))</f>
        <v>#REF!</v>
      </c>
      <c r="G694" s="113" t="e">
        <f>IF(AND(INDEX(#REF!,$A694)="Materials",LEN(INDEX(#REF!,$A694))&gt;0),$B$184,"")</f>
        <v>#REF!</v>
      </c>
      <c r="H694" s="113" t="e">
        <f>IF(AND(INDEX(#REF!,$A694)&gt;0,LEN(INDEX(#REF!,$A694))=0),$B$175,"")</f>
        <v>#REF!</v>
      </c>
      <c r="I694" s="113" t="e">
        <f>IF(AND(INDEX(#REF!,$A694)&gt;0,LEN(INDEX(#REF!,$A694))=0),$B$176,"")</f>
        <v>#REF!</v>
      </c>
    </row>
    <row r="695" spans="1:9" ht="12" customHeight="1" x14ac:dyDescent="0.35">
      <c r="A695" s="256">
        <v>73</v>
      </c>
      <c r="B695" s="113" t="str">
        <f t="array" ref="B695">IFERROR(INDEX(comb_notes_inkind[[#This Row],[Empty line]:[No organisation name]],1,MATCH(TRUE,LEN(comb_notes_inkind[[#This Row],[Empty line]:[No organisation name]])&gt;0,0)),"")</f>
        <v/>
      </c>
      <c r="C695" s="113" t="str">
        <f>IFERROR(IF(AND(LEN(INDEX(#REF!,$A695))+LEN(INDEX(#REF!,$A695))+LEN(INDEX(#REF!,$A695))+LEN(INDEX(#REF!,$A695))&gt;0,LEN(INDEX(#REF!,$A695-1))+LEN(INDEX(#REF!,$A695-1))+LEN(INDEX(#REF!,$A695-1))+LEN(INDEX(#REF!,$A695-1))=0),$B$127,""),"")</f>
        <v/>
      </c>
      <c r="D695" s="113" t="e">
        <f>IF(AND(INDEX(#REF!,$A695)&gt;0,LEN(INDEX(#REF!,$A695))=0,cofunding_inkind_def_rates="yes"),$B$183,"")</f>
        <v>#REF!</v>
      </c>
      <c r="E695" s="113" t="e">
        <f>IF(AND(INDEX(#REF!,$A695)&gt;0,LEN(INDEX(#REF!,$A695))=0,cofunding_inkind_def_rates="yes"),$B$183,"")</f>
        <v>#REF!</v>
      </c>
      <c r="F695" s="113" t="e">
        <f>IF(AND(INDEX(#REF!,$A695)="Junior",INDEX(#REF!,$A695)&gt;cofunding_junior_rate),$B$186,IF(AND(INDEX(#REF!,$A695)="Senior",INDEX(#REF!,$A695)&gt;cofunding_senior_rate),$B$187,""))</f>
        <v>#REF!</v>
      </c>
      <c r="G695" s="113" t="e">
        <f>IF(AND(INDEX(#REF!,$A695)="Materials",LEN(INDEX(#REF!,$A695))&gt;0),$B$184,"")</f>
        <v>#REF!</v>
      </c>
      <c r="H695" s="113" t="e">
        <f>IF(AND(INDEX(#REF!,$A695)&gt;0,LEN(INDEX(#REF!,$A695))=0),$B$175,"")</f>
        <v>#REF!</v>
      </c>
      <c r="I695" s="113" t="e">
        <f>IF(AND(INDEX(#REF!,$A695)&gt;0,LEN(INDEX(#REF!,$A695))=0),$B$176,"")</f>
        <v>#REF!</v>
      </c>
    </row>
    <row r="696" spans="1:9" ht="12" customHeight="1" x14ac:dyDescent="0.35">
      <c r="A696" s="256">
        <v>74</v>
      </c>
      <c r="B696" s="113" t="str">
        <f t="array" ref="B696">IFERROR(INDEX(comb_notes_inkind[[#This Row],[Empty line]:[No organisation name]],1,MATCH(TRUE,LEN(comb_notes_inkind[[#This Row],[Empty line]:[No organisation name]])&gt;0,0)),"")</f>
        <v/>
      </c>
      <c r="C696" s="113" t="str">
        <f>IFERROR(IF(AND(LEN(INDEX(#REF!,$A696))+LEN(INDEX(#REF!,$A696))+LEN(INDEX(#REF!,$A696))+LEN(INDEX(#REF!,$A696))&gt;0,LEN(INDEX(#REF!,$A696-1))+LEN(INDEX(#REF!,$A696-1))+LEN(INDEX(#REF!,$A696-1))+LEN(INDEX(#REF!,$A696-1))=0),$B$127,""),"")</f>
        <v/>
      </c>
      <c r="D696" s="113" t="e">
        <f>IF(AND(INDEX(#REF!,$A696)&gt;0,LEN(INDEX(#REF!,$A696))=0,cofunding_inkind_def_rates="yes"),$B$183,"")</f>
        <v>#REF!</v>
      </c>
      <c r="E696" s="113" t="e">
        <f>IF(AND(INDEX(#REF!,$A696)&gt;0,LEN(INDEX(#REF!,$A696))=0,cofunding_inkind_def_rates="yes"),$B$183,"")</f>
        <v>#REF!</v>
      </c>
      <c r="F696" s="113" t="e">
        <f>IF(AND(INDEX(#REF!,$A696)="Junior",INDEX(#REF!,$A696)&gt;cofunding_junior_rate),$B$186,IF(AND(INDEX(#REF!,$A696)="Senior",INDEX(#REF!,$A696)&gt;cofunding_senior_rate),$B$187,""))</f>
        <v>#REF!</v>
      </c>
      <c r="G696" s="113" t="e">
        <f>IF(AND(INDEX(#REF!,$A696)="Materials",LEN(INDEX(#REF!,$A696))&gt;0),$B$184,"")</f>
        <v>#REF!</v>
      </c>
      <c r="H696" s="113" t="e">
        <f>IF(AND(INDEX(#REF!,$A696)&gt;0,LEN(INDEX(#REF!,$A696))=0),$B$175,"")</f>
        <v>#REF!</v>
      </c>
      <c r="I696" s="113" t="e">
        <f>IF(AND(INDEX(#REF!,$A696)&gt;0,LEN(INDEX(#REF!,$A696))=0),$B$176,"")</f>
        <v>#REF!</v>
      </c>
    </row>
    <row r="697" spans="1:9" ht="12" customHeight="1" x14ac:dyDescent="0.35">
      <c r="A697" s="256">
        <v>75</v>
      </c>
      <c r="B697" s="113" t="str">
        <f t="array" ref="B697">IFERROR(INDEX(comb_notes_inkind[[#This Row],[Empty line]:[No organisation name]],1,MATCH(TRUE,LEN(comb_notes_inkind[[#This Row],[Empty line]:[No organisation name]])&gt;0,0)),"")</f>
        <v/>
      </c>
      <c r="C697" s="113" t="str">
        <f>IFERROR(IF(AND(LEN(INDEX(#REF!,$A697))+LEN(INDEX(#REF!,$A697))+LEN(INDEX(#REF!,$A697))+LEN(INDEX(#REF!,$A697))&gt;0,LEN(INDEX(#REF!,$A697-1))+LEN(INDEX(#REF!,$A697-1))+LEN(INDEX(#REF!,$A697-1))+LEN(INDEX(#REF!,$A697-1))=0),$B$127,""),"")</f>
        <v/>
      </c>
      <c r="D697" s="113" t="e">
        <f>IF(AND(INDEX(#REF!,$A697)&gt;0,LEN(INDEX(#REF!,$A697))=0,cofunding_inkind_def_rates="yes"),$B$183,"")</f>
        <v>#REF!</v>
      </c>
      <c r="E697" s="113" t="e">
        <f>IF(AND(INDEX(#REF!,$A697)&gt;0,LEN(INDEX(#REF!,$A697))=0,cofunding_inkind_def_rates="yes"),$B$183,"")</f>
        <v>#REF!</v>
      </c>
      <c r="F697" s="113" t="e">
        <f>IF(AND(INDEX(#REF!,$A697)="Junior",INDEX(#REF!,$A697)&gt;cofunding_junior_rate),$B$186,IF(AND(INDEX(#REF!,$A697)="Senior",INDEX(#REF!,$A697)&gt;cofunding_senior_rate),$B$187,""))</f>
        <v>#REF!</v>
      </c>
      <c r="G697" s="113" t="e">
        <f>IF(AND(INDEX(#REF!,$A697)="Materials",LEN(INDEX(#REF!,$A697))&gt;0),$B$184,"")</f>
        <v>#REF!</v>
      </c>
      <c r="H697" s="113" t="e">
        <f>IF(AND(INDEX(#REF!,$A697)&gt;0,LEN(INDEX(#REF!,$A697))=0),$B$175,"")</f>
        <v>#REF!</v>
      </c>
      <c r="I697" s="113" t="e">
        <f>IF(AND(INDEX(#REF!,$A697)&gt;0,LEN(INDEX(#REF!,$A697))=0),$B$176,"")</f>
        <v>#REF!</v>
      </c>
    </row>
    <row r="698" spans="1:9" ht="12" customHeight="1" x14ac:dyDescent="0.35">
      <c r="A698" s="256">
        <v>76</v>
      </c>
      <c r="B698" s="113" t="str">
        <f t="array" ref="B698">IFERROR(INDEX(comb_notes_inkind[[#This Row],[Empty line]:[No organisation name]],1,MATCH(TRUE,LEN(comb_notes_inkind[[#This Row],[Empty line]:[No organisation name]])&gt;0,0)),"")</f>
        <v/>
      </c>
      <c r="C698" s="113" t="str">
        <f>IFERROR(IF(AND(LEN(INDEX(#REF!,$A698))+LEN(INDEX(#REF!,$A698))+LEN(INDEX(#REF!,$A698))+LEN(INDEX(#REF!,$A698))&gt;0,LEN(INDEX(#REF!,$A698-1))+LEN(INDEX(#REF!,$A698-1))+LEN(INDEX(#REF!,$A698-1))+LEN(INDEX(#REF!,$A698-1))=0),$B$127,""),"")</f>
        <v/>
      </c>
      <c r="D698" s="113" t="e">
        <f>IF(AND(INDEX(#REF!,$A698)&gt;0,LEN(INDEX(#REF!,$A698))=0,cofunding_inkind_def_rates="yes"),$B$183,"")</f>
        <v>#REF!</v>
      </c>
      <c r="E698" s="113" t="e">
        <f>IF(AND(INDEX(#REF!,$A698)&gt;0,LEN(INDEX(#REF!,$A698))=0,cofunding_inkind_def_rates="yes"),$B$183,"")</f>
        <v>#REF!</v>
      </c>
      <c r="F698" s="113" t="e">
        <f>IF(AND(INDEX(#REF!,$A698)="Junior",INDEX(#REF!,$A698)&gt;cofunding_junior_rate),$B$186,IF(AND(INDEX(#REF!,$A698)="Senior",INDEX(#REF!,$A698)&gt;cofunding_senior_rate),$B$187,""))</f>
        <v>#REF!</v>
      </c>
      <c r="G698" s="113" t="e">
        <f>IF(AND(INDEX(#REF!,$A698)="Materials",LEN(INDEX(#REF!,$A698))&gt;0),$B$184,"")</f>
        <v>#REF!</v>
      </c>
      <c r="H698" s="113" t="e">
        <f>IF(AND(INDEX(#REF!,$A698)&gt;0,LEN(INDEX(#REF!,$A698))=0),$B$175,"")</f>
        <v>#REF!</v>
      </c>
      <c r="I698" s="113" t="e">
        <f>IF(AND(INDEX(#REF!,$A698)&gt;0,LEN(INDEX(#REF!,$A698))=0),$B$176,"")</f>
        <v>#REF!</v>
      </c>
    </row>
    <row r="699" spans="1:9" ht="12" customHeight="1" x14ac:dyDescent="0.35">
      <c r="A699" s="256">
        <v>77</v>
      </c>
      <c r="B699" s="113" t="str">
        <f t="array" ref="B699">IFERROR(INDEX(comb_notes_inkind[[#This Row],[Empty line]:[No organisation name]],1,MATCH(TRUE,LEN(comb_notes_inkind[[#This Row],[Empty line]:[No organisation name]])&gt;0,0)),"")</f>
        <v/>
      </c>
      <c r="C699" s="113" t="str">
        <f>IFERROR(IF(AND(LEN(INDEX(#REF!,$A699))+LEN(INDEX(#REF!,$A699))+LEN(INDEX(#REF!,$A699))+LEN(INDEX(#REF!,$A699))&gt;0,LEN(INDEX(#REF!,$A699-1))+LEN(INDEX(#REF!,$A699-1))+LEN(INDEX(#REF!,$A699-1))+LEN(INDEX(#REF!,$A699-1))=0),$B$127,""),"")</f>
        <v/>
      </c>
      <c r="D699" s="113" t="e">
        <f>IF(AND(INDEX(#REF!,$A699)&gt;0,LEN(INDEX(#REF!,$A699))=0,cofunding_inkind_def_rates="yes"),$B$183,"")</f>
        <v>#REF!</v>
      </c>
      <c r="E699" s="113" t="e">
        <f>IF(AND(INDEX(#REF!,$A699)&gt;0,LEN(INDEX(#REF!,$A699))=0,cofunding_inkind_def_rates="yes"),$B$183,"")</f>
        <v>#REF!</v>
      </c>
      <c r="F699" s="113" t="e">
        <f>IF(AND(INDEX(#REF!,$A699)="Junior",INDEX(#REF!,$A699)&gt;cofunding_junior_rate),$B$186,IF(AND(INDEX(#REF!,$A699)="Senior",INDEX(#REF!,$A699)&gt;cofunding_senior_rate),$B$187,""))</f>
        <v>#REF!</v>
      </c>
      <c r="G699" s="113" t="e">
        <f>IF(AND(INDEX(#REF!,$A699)="Materials",LEN(INDEX(#REF!,$A699))&gt;0),$B$184,"")</f>
        <v>#REF!</v>
      </c>
      <c r="H699" s="113" t="e">
        <f>IF(AND(INDEX(#REF!,$A699)&gt;0,LEN(INDEX(#REF!,$A699))=0),$B$175,"")</f>
        <v>#REF!</v>
      </c>
      <c r="I699" s="113" t="e">
        <f>IF(AND(INDEX(#REF!,$A699)&gt;0,LEN(INDEX(#REF!,$A699))=0),$B$176,"")</f>
        <v>#REF!</v>
      </c>
    </row>
    <row r="700" spans="1:9" ht="12" customHeight="1" x14ac:dyDescent="0.35">
      <c r="A700" s="256">
        <v>78</v>
      </c>
      <c r="B700" s="113" t="str">
        <f t="array" ref="B700">IFERROR(INDEX(comb_notes_inkind[[#This Row],[Empty line]:[No organisation name]],1,MATCH(TRUE,LEN(comb_notes_inkind[[#This Row],[Empty line]:[No organisation name]])&gt;0,0)),"")</f>
        <v/>
      </c>
      <c r="C700" s="113" t="str">
        <f>IFERROR(IF(AND(LEN(INDEX(#REF!,$A700))+LEN(INDEX(#REF!,$A700))+LEN(INDEX(#REF!,$A700))+LEN(INDEX(#REF!,$A700))&gt;0,LEN(INDEX(#REF!,$A700-1))+LEN(INDEX(#REF!,$A700-1))+LEN(INDEX(#REF!,$A700-1))+LEN(INDEX(#REF!,$A700-1))=0),$B$127,""),"")</f>
        <v/>
      </c>
      <c r="D700" s="113" t="e">
        <f>IF(AND(INDEX(#REF!,$A700)&gt;0,LEN(INDEX(#REF!,$A700))=0,cofunding_inkind_def_rates="yes"),$B$183,"")</f>
        <v>#REF!</v>
      </c>
      <c r="E700" s="113" t="e">
        <f>IF(AND(INDEX(#REF!,$A700)&gt;0,LEN(INDEX(#REF!,$A700))=0,cofunding_inkind_def_rates="yes"),$B$183,"")</f>
        <v>#REF!</v>
      </c>
      <c r="F700" s="113" t="e">
        <f>IF(AND(INDEX(#REF!,$A700)="Junior",INDEX(#REF!,$A700)&gt;cofunding_junior_rate),$B$186,IF(AND(INDEX(#REF!,$A700)="Senior",INDEX(#REF!,$A700)&gt;cofunding_senior_rate),$B$187,""))</f>
        <v>#REF!</v>
      </c>
      <c r="G700" s="113" t="e">
        <f>IF(AND(INDEX(#REF!,$A700)="Materials",LEN(INDEX(#REF!,$A700))&gt;0),$B$184,"")</f>
        <v>#REF!</v>
      </c>
      <c r="H700" s="113" t="e">
        <f>IF(AND(INDEX(#REF!,$A700)&gt;0,LEN(INDEX(#REF!,$A700))=0),$B$175,"")</f>
        <v>#REF!</v>
      </c>
      <c r="I700" s="113" t="e">
        <f>IF(AND(INDEX(#REF!,$A700)&gt;0,LEN(INDEX(#REF!,$A700))=0),$B$176,"")</f>
        <v>#REF!</v>
      </c>
    </row>
    <row r="701" spans="1:9" ht="12" customHeight="1" x14ac:dyDescent="0.35">
      <c r="A701" s="256">
        <v>79</v>
      </c>
      <c r="B701" s="113" t="str">
        <f t="array" ref="B701">IFERROR(INDEX(comb_notes_inkind[[#This Row],[Empty line]:[No organisation name]],1,MATCH(TRUE,LEN(comb_notes_inkind[[#This Row],[Empty line]:[No organisation name]])&gt;0,0)),"")</f>
        <v/>
      </c>
      <c r="C701" s="113" t="str">
        <f>IFERROR(IF(AND(LEN(INDEX(#REF!,$A701))+LEN(INDEX(#REF!,$A701))+LEN(INDEX(#REF!,$A701))+LEN(INDEX(#REF!,$A701))&gt;0,LEN(INDEX(#REF!,$A701-1))+LEN(INDEX(#REF!,$A701-1))+LEN(INDEX(#REF!,$A701-1))+LEN(INDEX(#REF!,$A701-1))=0),$B$127,""),"")</f>
        <v/>
      </c>
      <c r="D701" s="113" t="e">
        <f>IF(AND(INDEX(#REF!,$A701)&gt;0,LEN(INDEX(#REF!,$A701))=0,cofunding_inkind_def_rates="yes"),$B$183,"")</f>
        <v>#REF!</v>
      </c>
      <c r="E701" s="113" t="e">
        <f>IF(AND(INDEX(#REF!,$A701)&gt;0,LEN(INDEX(#REF!,$A701))=0,cofunding_inkind_def_rates="yes"),$B$183,"")</f>
        <v>#REF!</v>
      </c>
      <c r="F701" s="113" t="e">
        <f>IF(AND(INDEX(#REF!,$A701)="Junior",INDEX(#REF!,$A701)&gt;cofunding_junior_rate),$B$186,IF(AND(INDEX(#REF!,$A701)="Senior",INDEX(#REF!,$A701)&gt;cofunding_senior_rate),$B$187,""))</f>
        <v>#REF!</v>
      </c>
      <c r="G701" s="113" t="e">
        <f>IF(AND(INDEX(#REF!,$A701)="Materials",LEN(INDEX(#REF!,$A701))&gt;0),$B$184,"")</f>
        <v>#REF!</v>
      </c>
      <c r="H701" s="113" t="e">
        <f>IF(AND(INDEX(#REF!,$A701)&gt;0,LEN(INDEX(#REF!,$A701))=0),$B$175,"")</f>
        <v>#REF!</v>
      </c>
      <c r="I701" s="113" t="e">
        <f>IF(AND(INDEX(#REF!,$A701)&gt;0,LEN(INDEX(#REF!,$A701))=0),$B$176,"")</f>
        <v>#REF!</v>
      </c>
    </row>
    <row r="702" spans="1:9" ht="12" customHeight="1" x14ac:dyDescent="0.35">
      <c r="A702" s="256">
        <v>80</v>
      </c>
      <c r="B702" s="113" t="str">
        <f t="array" ref="B702">IFERROR(INDEX(comb_notes_inkind[[#This Row],[Empty line]:[No organisation name]],1,MATCH(TRUE,LEN(comb_notes_inkind[[#This Row],[Empty line]:[No organisation name]])&gt;0,0)),"")</f>
        <v/>
      </c>
      <c r="C702" s="113" t="str">
        <f>IFERROR(IF(AND(LEN(INDEX(#REF!,$A702))+LEN(INDEX(#REF!,$A702))+LEN(INDEX(#REF!,$A702))+LEN(INDEX(#REF!,$A702))&gt;0,LEN(INDEX(#REF!,$A702-1))+LEN(INDEX(#REF!,$A702-1))+LEN(INDEX(#REF!,$A702-1))+LEN(INDEX(#REF!,$A702-1))=0),$B$127,""),"")</f>
        <v/>
      </c>
      <c r="D702" s="113" t="e">
        <f>IF(AND(INDEX(#REF!,$A702)&gt;0,LEN(INDEX(#REF!,$A702))=0,cofunding_inkind_def_rates="yes"),$B$183,"")</f>
        <v>#REF!</v>
      </c>
      <c r="E702" s="113" t="e">
        <f>IF(AND(INDEX(#REF!,$A702)&gt;0,LEN(INDEX(#REF!,$A702))=0,cofunding_inkind_def_rates="yes"),$B$183,"")</f>
        <v>#REF!</v>
      </c>
      <c r="F702" s="113" t="e">
        <f>IF(AND(INDEX(#REF!,$A702)="Junior",INDEX(#REF!,$A702)&gt;cofunding_junior_rate),$B$186,IF(AND(INDEX(#REF!,$A702)="Senior",INDEX(#REF!,$A702)&gt;cofunding_senior_rate),$B$187,""))</f>
        <v>#REF!</v>
      </c>
      <c r="G702" s="113" t="e">
        <f>IF(AND(INDEX(#REF!,$A702)="Materials",LEN(INDEX(#REF!,$A702))&gt;0),$B$184,"")</f>
        <v>#REF!</v>
      </c>
      <c r="H702" s="113" t="e">
        <f>IF(AND(INDEX(#REF!,$A702)&gt;0,LEN(INDEX(#REF!,$A702))=0),$B$175,"")</f>
        <v>#REF!</v>
      </c>
      <c r="I702" s="113" t="e">
        <f>IF(AND(INDEX(#REF!,$A702)&gt;0,LEN(INDEX(#REF!,$A702))=0),$B$176,"")</f>
        <v>#REF!</v>
      </c>
    </row>
    <row r="703" spans="1:9" ht="12" customHeight="1" x14ac:dyDescent="0.35">
      <c r="A703" s="256">
        <v>81</v>
      </c>
      <c r="B703" s="113" t="str">
        <f t="array" ref="B703">IFERROR(INDEX(comb_notes_inkind[[#This Row],[Empty line]:[No organisation name]],1,MATCH(TRUE,LEN(comb_notes_inkind[[#This Row],[Empty line]:[No organisation name]])&gt;0,0)),"")</f>
        <v/>
      </c>
      <c r="C703" s="113" t="str">
        <f>IFERROR(IF(AND(LEN(INDEX(#REF!,$A703))+LEN(INDEX(#REF!,$A703))+LEN(INDEX(#REF!,$A703))+LEN(INDEX(#REF!,$A703))&gt;0,LEN(INDEX(#REF!,$A703-1))+LEN(INDEX(#REF!,$A703-1))+LEN(INDEX(#REF!,$A703-1))+LEN(INDEX(#REF!,$A703-1))=0),$B$127,""),"")</f>
        <v/>
      </c>
      <c r="D703" s="113" t="e">
        <f>IF(AND(INDEX(#REF!,$A703)&gt;0,LEN(INDEX(#REF!,$A703))=0,cofunding_inkind_def_rates="yes"),$B$183,"")</f>
        <v>#REF!</v>
      </c>
      <c r="E703" s="113" t="e">
        <f>IF(AND(INDEX(#REF!,$A703)&gt;0,LEN(INDEX(#REF!,$A703))=0,cofunding_inkind_def_rates="yes"),$B$183,"")</f>
        <v>#REF!</v>
      </c>
      <c r="F703" s="113" t="e">
        <f>IF(AND(INDEX(#REF!,$A703)="Junior",INDEX(#REF!,$A703)&gt;cofunding_junior_rate),$B$186,IF(AND(INDEX(#REF!,$A703)="Senior",INDEX(#REF!,$A703)&gt;cofunding_senior_rate),$B$187,""))</f>
        <v>#REF!</v>
      </c>
      <c r="G703" s="113" t="e">
        <f>IF(AND(INDEX(#REF!,$A703)="Materials",LEN(INDEX(#REF!,$A703))&gt;0),$B$184,"")</f>
        <v>#REF!</v>
      </c>
      <c r="H703" s="113" t="e">
        <f>IF(AND(INDEX(#REF!,$A703)&gt;0,LEN(INDEX(#REF!,$A703))=0),$B$175,"")</f>
        <v>#REF!</v>
      </c>
      <c r="I703" s="113" t="e">
        <f>IF(AND(INDEX(#REF!,$A703)&gt;0,LEN(INDEX(#REF!,$A703))=0),$B$176,"")</f>
        <v>#REF!</v>
      </c>
    </row>
    <row r="704" spans="1:9" ht="12" customHeight="1" x14ac:dyDescent="0.35">
      <c r="A704" s="256">
        <v>82</v>
      </c>
      <c r="B704" s="113" t="str">
        <f t="array" ref="B704">IFERROR(INDEX(comb_notes_inkind[[#This Row],[Empty line]:[No organisation name]],1,MATCH(TRUE,LEN(comb_notes_inkind[[#This Row],[Empty line]:[No organisation name]])&gt;0,0)),"")</f>
        <v/>
      </c>
      <c r="C704" s="113" t="str">
        <f>IFERROR(IF(AND(LEN(INDEX(#REF!,$A704))+LEN(INDEX(#REF!,$A704))+LEN(INDEX(#REF!,$A704))+LEN(INDEX(#REF!,$A704))&gt;0,LEN(INDEX(#REF!,$A704-1))+LEN(INDEX(#REF!,$A704-1))+LEN(INDEX(#REF!,$A704-1))+LEN(INDEX(#REF!,$A704-1))=0),$B$127,""),"")</f>
        <v/>
      </c>
      <c r="D704" s="113" t="e">
        <f>IF(AND(INDEX(#REF!,$A704)&gt;0,LEN(INDEX(#REF!,$A704))=0,cofunding_inkind_def_rates="yes"),$B$183,"")</f>
        <v>#REF!</v>
      </c>
      <c r="E704" s="113" t="e">
        <f>IF(AND(INDEX(#REF!,$A704)&gt;0,LEN(INDEX(#REF!,$A704))=0,cofunding_inkind_def_rates="yes"),$B$183,"")</f>
        <v>#REF!</v>
      </c>
      <c r="F704" s="113" t="e">
        <f>IF(AND(INDEX(#REF!,$A704)="Junior",INDEX(#REF!,$A704)&gt;cofunding_junior_rate),$B$186,IF(AND(INDEX(#REF!,$A704)="Senior",INDEX(#REF!,$A704)&gt;cofunding_senior_rate),$B$187,""))</f>
        <v>#REF!</v>
      </c>
      <c r="G704" s="113" t="e">
        <f>IF(AND(INDEX(#REF!,$A704)="Materials",LEN(INDEX(#REF!,$A704))&gt;0),$B$184,"")</f>
        <v>#REF!</v>
      </c>
      <c r="H704" s="113" t="e">
        <f>IF(AND(INDEX(#REF!,$A704)&gt;0,LEN(INDEX(#REF!,$A704))=0),$B$175,"")</f>
        <v>#REF!</v>
      </c>
      <c r="I704" s="113" t="e">
        <f>IF(AND(INDEX(#REF!,$A704)&gt;0,LEN(INDEX(#REF!,$A704))=0),$B$176,"")</f>
        <v>#REF!</v>
      </c>
    </row>
    <row r="705" spans="1:9" ht="12" customHeight="1" x14ac:dyDescent="0.35">
      <c r="A705" s="256">
        <v>83</v>
      </c>
      <c r="B705" s="113" t="str">
        <f t="array" ref="B705">IFERROR(INDEX(comb_notes_inkind[[#This Row],[Empty line]:[No organisation name]],1,MATCH(TRUE,LEN(comb_notes_inkind[[#This Row],[Empty line]:[No organisation name]])&gt;0,0)),"")</f>
        <v/>
      </c>
      <c r="C705" s="113" t="str">
        <f>IFERROR(IF(AND(LEN(INDEX(#REF!,$A705))+LEN(INDEX(#REF!,$A705))+LEN(INDEX(#REF!,$A705))+LEN(INDEX(#REF!,$A705))&gt;0,LEN(INDEX(#REF!,$A705-1))+LEN(INDEX(#REF!,$A705-1))+LEN(INDEX(#REF!,$A705-1))+LEN(INDEX(#REF!,$A705-1))=0),$B$127,""),"")</f>
        <v/>
      </c>
      <c r="D705" s="113" t="e">
        <f>IF(AND(INDEX(#REF!,$A705)&gt;0,LEN(INDEX(#REF!,$A705))=0,cofunding_inkind_def_rates="yes"),$B$183,"")</f>
        <v>#REF!</v>
      </c>
      <c r="E705" s="113" t="e">
        <f>IF(AND(INDEX(#REF!,$A705)&gt;0,LEN(INDEX(#REF!,$A705))=0,cofunding_inkind_def_rates="yes"),$B$183,"")</f>
        <v>#REF!</v>
      </c>
      <c r="F705" s="113" t="e">
        <f>IF(AND(INDEX(#REF!,$A705)="Junior",INDEX(#REF!,$A705)&gt;cofunding_junior_rate),$B$186,IF(AND(INDEX(#REF!,$A705)="Senior",INDEX(#REF!,$A705)&gt;cofunding_senior_rate),$B$187,""))</f>
        <v>#REF!</v>
      </c>
      <c r="G705" s="113" t="e">
        <f>IF(AND(INDEX(#REF!,$A705)="Materials",LEN(INDEX(#REF!,$A705))&gt;0),$B$184,"")</f>
        <v>#REF!</v>
      </c>
      <c r="H705" s="113" t="e">
        <f>IF(AND(INDEX(#REF!,$A705)&gt;0,LEN(INDEX(#REF!,$A705))=0),$B$175,"")</f>
        <v>#REF!</v>
      </c>
      <c r="I705" s="113" t="e">
        <f>IF(AND(INDEX(#REF!,$A705)&gt;0,LEN(INDEX(#REF!,$A705))=0),$B$176,"")</f>
        <v>#REF!</v>
      </c>
    </row>
    <row r="706" spans="1:9" ht="12" customHeight="1" x14ac:dyDescent="0.35">
      <c r="A706" s="256">
        <v>84</v>
      </c>
      <c r="B706" s="113" t="str">
        <f t="array" ref="B706">IFERROR(INDEX(comb_notes_inkind[[#This Row],[Empty line]:[No organisation name]],1,MATCH(TRUE,LEN(comb_notes_inkind[[#This Row],[Empty line]:[No organisation name]])&gt;0,0)),"")</f>
        <v/>
      </c>
      <c r="C706" s="113" t="str">
        <f>IFERROR(IF(AND(LEN(INDEX(#REF!,$A706))+LEN(INDEX(#REF!,$A706))+LEN(INDEX(#REF!,$A706))+LEN(INDEX(#REF!,$A706))&gt;0,LEN(INDEX(#REF!,$A706-1))+LEN(INDEX(#REF!,$A706-1))+LEN(INDEX(#REF!,$A706-1))+LEN(INDEX(#REF!,$A706-1))=0),$B$127,""),"")</f>
        <v/>
      </c>
      <c r="D706" s="113" t="e">
        <f>IF(AND(INDEX(#REF!,$A706)&gt;0,LEN(INDEX(#REF!,$A706))=0,cofunding_inkind_def_rates="yes"),$B$183,"")</f>
        <v>#REF!</v>
      </c>
      <c r="E706" s="113" t="e">
        <f>IF(AND(INDEX(#REF!,$A706)&gt;0,LEN(INDEX(#REF!,$A706))=0,cofunding_inkind_def_rates="yes"),$B$183,"")</f>
        <v>#REF!</v>
      </c>
      <c r="F706" s="113" t="e">
        <f>IF(AND(INDEX(#REF!,$A706)="Junior",INDEX(#REF!,$A706)&gt;cofunding_junior_rate),$B$186,IF(AND(INDEX(#REF!,$A706)="Senior",INDEX(#REF!,$A706)&gt;cofunding_senior_rate),$B$187,""))</f>
        <v>#REF!</v>
      </c>
      <c r="G706" s="113" t="e">
        <f>IF(AND(INDEX(#REF!,$A706)="Materials",LEN(INDEX(#REF!,$A706))&gt;0),$B$184,"")</f>
        <v>#REF!</v>
      </c>
      <c r="H706" s="113" t="e">
        <f>IF(AND(INDEX(#REF!,$A706)&gt;0,LEN(INDEX(#REF!,$A706))=0),$B$175,"")</f>
        <v>#REF!</v>
      </c>
      <c r="I706" s="113" t="e">
        <f>IF(AND(INDEX(#REF!,$A706)&gt;0,LEN(INDEX(#REF!,$A706))=0),$B$176,"")</f>
        <v>#REF!</v>
      </c>
    </row>
    <row r="707" spans="1:9" ht="12" customHeight="1" x14ac:dyDescent="0.35">
      <c r="A707" s="256">
        <v>85</v>
      </c>
      <c r="B707" s="113" t="str">
        <f t="array" ref="B707">IFERROR(INDEX(comb_notes_inkind[[#This Row],[Empty line]:[No organisation name]],1,MATCH(TRUE,LEN(comb_notes_inkind[[#This Row],[Empty line]:[No organisation name]])&gt;0,0)),"")</f>
        <v/>
      </c>
      <c r="C707" s="113" t="str">
        <f>IFERROR(IF(AND(LEN(INDEX(#REF!,$A707))+LEN(INDEX(#REF!,$A707))+LEN(INDEX(#REF!,$A707))+LEN(INDEX(#REF!,$A707))&gt;0,LEN(INDEX(#REF!,$A707-1))+LEN(INDEX(#REF!,$A707-1))+LEN(INDEX(#REF!,$A707-1))+LEN(INDEX(#REF!,$A707-1))=0),$B$127,""),"")</f>
        <v/>
      </c>
      <c r="D707" s="113" t="e">
        <f>IF(AND(INDEX(#REF!,$A707)&gt;0,LEN(INDEX(#REF!,$A707))=0,cofunding_inkind_def_rates="yes"),$B$183,"")</f>
        <v>#REF!</v>
      </c>
      <c r="E707" s="113" t="e">
        <f>IF(AND(INDEX(#REF!,$A707)&gt;0,LEN(INDEX(#REF!,$A707))=0,cofunding_inkind_def_rates="yes"),$B$183,"")</f>
        <v>#REF!</v>
      </c>
      <c r="F707" s="113" t="e">
        <f>IF(AND(INDEX(#REF!,$A707)="Junior",INDEX(#REF!,$A707)&gt;cofunding_junior_rate),$B$186,IF(AND(INDEX(#REF!,$A707)="Senior",INDEX(#REF!,$A707)&gt;cofunding_senior_rate),$B$187,""))</f>
        <v>#REF!</v>
      </c>
      <c r="G707" s="113" t="e">
        <f>IF(AND(INDEX(#REF!,$A707)="Materials",LEN(INDEX(#REF!,$A707))&gt;0),$B$184,"")</f>
        <v>#REF!</v>
      </c>
      <c r="H707" s="113" t="e">
        <f>IF(AND(INDEX(#REF!,$A707)&gt;0,LEN(INDEX(#REF!,$A707))=0),$B$175,"")</f>
        <v>#REF!</v>
      </c>
      <c r="I707" s="113" t="e">
        <f>IF(AND(INDEX(#REF!,$A707)&gt;0,LEN(INDEX(#REF!,$A707))=0),$B$176,"")</f>
        <v>#REF!</v>
      </c>
    </row>
    <row r="708" spans="1:9" ht="12" customHeight="1" x14ac:dyDescent="0.35">
      <c r="A708" s="256">
        <v>86</v>
      </c>
      <c r="B708" s="113" t="str">
        <f t="array" ref="B708">IFERROR(INDEX(comb_notes_inkind[[#This Row],[Empty line]:[No organisation name]],1,MATCH(TRUE,LEN(comb_notes_inkind[[#This Row],[Empty line]:[No organisation name]])&gt;0,0)),"")</f>
        <v/>
      </c>
      <c r="C708" s="113" t="str">
        <f>IFERROR(IF(AND(LEN(INDEX(#REF!,$A708))+LEN(INDEX(#REF!,$A708))+LEN(INDEX(#REF!,$A708))+LEN(INDEX(#REF!,$A708))&gt;0,LEN(INDEX(#REF!,$A708-1))+LEN(INDEX(#REF!,$A708-1))+LEN(INDEX(#REF!,$A708-1))+LEN(INDEX(#REF!,$A708-1))=0),$B$127,""),"")</f>
        <v/>
      </c>
      <c r="D708" s="113" t="e">
        <f>IF(AND(INDEX(#REF!,$A708)&gt;0,LEN(INDEX(#REF!,$A708))=0,cofunding_inkind_def_rates="yes"),$B$183,"")</f>
        <v>#REF!</v>
      </c>
      <c r="E708" s="113" t="e">
        <f>IF(AND(INDEX(#REF!,$A708)&gt;0,LEN(INDEX(#REF!,$A708))=0,cofunding_inkind_def_rates="yes"),$B$183,"")</f>
        <v>#REF!</v>
      </c>
      <c r="F708" s="113" t="e">
        <f>IF(AND(INDEX(#REF!,$A708)="Junior",INDEX(#REF!,$A708)&gt;cofunding_junior_rate),$B$186,IF(AND(INDEX(#REF!,$A708)="Senior",INDEX(#REF!,$A708)&gt;cofunding_senior_rate),$B$187,""))</f>
        <v>#REF!</v>
      </c>
      <c r="G708" s="113" t="e">
        <f>IF(AND(INDEX(#REF!,$A708)="Materials",LEN(INDEX(#REF!,$A708))&gt;0),$B$184,"")</f>
        <v>#REF!</v>
      </c>
      <c r="H708" s="113" t="e">
        <f>IF(AND(INDEX(#REF!,$A708)&gt;0,LEN(INDEX(#REF!,$A708))=0),$B$175,"")</f>
        <v>#REF!</v>
      </c>
      <c r="I708" s="113" t="e">
        <f>IF(AND(INDEX(#REF!,$A708)&gt;0,LEN(INDEX(#REF!,$A708))=0),$B$176,"")</f>
        <v>#REF!</v>
      </c>
    </row>
    <row r="709" spans="1:9" ht="12" customHeight="1" x14ac:dyDescent="0.35">
      <c r="A709" s="256">
        <v>87</v>
      </c>
      <c r="B709" s="113" t="str">
        <f t="array" ref="B709">IFERROR(INDEX(comb_notes_inkind[[#This Row],[Empty line]:[No organisation name]],1,MATCH(TRUE,LEN(comb_notes_inkind[[#This Row],[Empty line]:[No organisation name]])&gt;0,0)),"")</f>
        <v/>
      </c>
      <c r="C709" s="113" t="str">
        <f>IFERROR(IF(AND(LEN(INDEX(#REF!,$A709))+LEN(INDEX(#REF!,$A709))+LEN(INDEX(#REF!,$A709))+LEN(INDEX(#REF!,$A709))&gt;0,LEN(INDEX(#REF!,$A709-1))+LEN(INDEX(#REF!,$A709-1))+LEN(INDEX(#REF!,$A709-1))+LEN(INDEX(#REF!,$A709-1))=0),$B$127,""),"")</f>
        <v/>
      </c>
      <c r="D709" s="113" t="e">
        <f>IF(AND(INDEX(#REF!,$A709)&gt;0,LEN(INDEX(#REF!,$A709))=0,cofunding_inkind_def_rates="yes"),$B$183,"")</f>
        <v>#REF!</v>
      </c>
      <c r="E709" s="113" t="e">
        <f>IF(AND(INDEX(#REF!,$A709)&gt;0,LEN(INDEX(#REF!,$A709))=0,cofunding_inkind_def_rates="yes"),$B$183,"")</f>
        <v>#REF!</v>
      </c>
      <c r="F709" s="113" t="e">
        <f>IF(AND(INDEX(#REF!,$A709)="Junior",INDEX(#REF!,$A709)&gt;cofunding_junior_rate),$B$186,IF(AND(INDEX(#REF!,$A709)="Senior",INDEX(#REF!,$A709)&gt;cofunding_senior_rate),$B$187,""))</f>
        <v>#REF!</v>
      </c>
      <c r="G709" s="113" t="e">
        <f>IF(AND(INDEX(#REF!,$A709)="Materials",LEN(INDEX(#REF!,$A709))&gt;0),$B$184,"")</f>
        <v>#REF!</v>
      </c>
      <c r="H709" s="113" t="e">
        <f>IF(AND(INDEX(#REF!,$A709)&gt;0,LEN(INDEX(#REF!,$A709))=0),$B$175,"")</f>
        <v>#REF!</v>
      </c>
      <c r="I709" s="113" t="e">
        <f>IF(AND(INDEX(#REF!,$A709)&gt;0,LEN(INDEX(#REF!,$A709))=0),$B$176,"")</f>
        <v>#REF!</v>
      </c>
    </row>
    <row r="710" spans="1:9" ht="12" customHeight="1" x14ac:dyDescent="0.35">
      <c r="A710" s="256">
        <v>88</v>
      </c>
      <c r="B710" s="113" t="str">
        <f t="array" ref="B710">IFERROR(INDEX(comb_notes_inkind[[#This Row],[Empty line]:[No organisation name]],1,MATCH(TRUE,LEN(comb_notes_inkind[[#This Row],[Empty line]:[No organisation name]])&gt;0,0)),"")</f>
        <v/>
      </c>
      <c r="C710" s="113" t="str">
        <f>IFERROR(IF(AND(LEN(INDEX(#REF!,$A710))+LEN(INDEX(#REF!,$A710))+LEN(INDEX(#REF!,$A710))+LEN(INDEX(#REF!,$A710))&gt;0,LEN(INDEX(#REF!,$A710-1))+LEN(INDEX(#REF!,$A710-1))+LEN(INDEX(#REF!,$A710-1))+LEN(INDEX(#REF!,$A710-1))=0),$B$127,""),"")</f>
        <v/>
      </c>
      <c r="D710" s="113" t="e">
        <f>IF(AND(INDEX(#REF!,$A710)&gt;0,LEN(INDEX(#REF!,$A710))=0,cofunding_inkind_def_rates="yes"),$B$183,"")</f>
        <v>#REF!</v>
      </c>
      <c r="E710" s="113" t="e">
        <f>IF(AND(INDEX(#REF!,$A710)&gt;0,LEN(INDEX(#REF!,$A710))=0,cofunding_inkind_def_rates="yes"),$B$183,"")</f>
        <v>#REF!</v>
      </c>
      <c r="F710" s="113" t="e">
        <f>IF(AND(INDEX(#REF!,$A710)="Junior",INDEX(#REF!,$A710)&gt;cofunding_junior_rate),$B$186,IF(AND(INDEX(#REF!,$A710)="Senior",INDEX(#REF!,$A710)&gt;cofunding_senior_rate),$B$187,""))</f>
        <v>#REF!</v>
      </c>
      <c r="G710" s="113" t="e">
        <f>IF(AND(INDEX(#REF!,$A710)="Materials",LEN(INDEX(#REF!,$A710))&gt;0),$B$184,"")</f>
        <v>#REF!</v>
      </c>
      <c r="H710" s="113" t="e">
        <f>IF(AND(INDEX(#REF!,$A710)&gt;0,LEN(INDEX(#REF!,$A710))=0),$B$175,"")</f>
        <v>#REF!</v>
      </c>
      <c r="I710" s="113" t="e">
        <f>IF(AND(INDEX(#REF!,$A710)&gt;0,LEN(INDEX(#REF!,$A710))=0),$B$176,"")</f>
        <v>#REF!</v>
      </c>
    </row>
    <row r="711" spans="1:9" ht="12" customHeight="1" x14ac:dyDescent="0.35">
      <c r="A711" s="256">
        <v>89</v>
      </c>
      <c r="B711" s="113" t="str">
        <f t="array" ref="B711">IFERROR(INDEX(comb_notes_inkind[[#This Row],[Empty line]:[No organisation name]],1,MATCH(TRUE,LEN(comb_notes_inkind[[#This Row],[Empty line]:[No organisation name]])&gt;0,0)),"")</f>
        <v/>
      </c>
      <c r="C711" s="113" t="str">
        <f>IFERROR(IF(AND(LEN(INDEX(#REF!,$A711))+LEN(INDEX(#REF!,$A711))+LEN(INDEX(#REF!,$A711))+LEN(INDEX(#REF!,$A711))&gt;0,LEN(INDEX(#REF!,$A711-1))+LEN(INDEX(#REF!,$A711-1))+LEN(INDEX(#REF!,$A711-1))+LEN(INDEX(#REF!,$A711-1))=0),$B$127,""),"")</f>
        <v/>
      </c>
      <c r="D711" s="113" t="e">
        <f>IF(AND(INDEX(#REF!,$A711)&gt;0,LEN(INDEX(#REF!,$A711))=0,cofunding_inkind_def_rates="yes"),$B$183,"")</f>
        <v>#REF!</v>
      </c>
      <c r="E711" s="113" t="e">
        <f>IF(AND(INDEX(#REF!,$A711)&gt;0,LEN(INDEX(#REF!,$A711))=0,cofunding_inkind_def_rates="yes"),$B$183,"")</f>
        <v>#REF!</v>
      </c>
      <c r="F711" s="113" t="e">
        <f>IF(AND(INDEX(#REF!,$A711)="Junior",INDEX(#REF!,$A711)&gt;cofunding_junior_rate),$B$186,IF(AND(INDEX(#REF!,$A711)="Senior",INDEX(#REF!,$A711)&gt;cofunding_senior_rate),$B$187,""))</f>
        <v>#REF!</v>
      </c>
      <c r="G711" s="113" t="e">
        <f>IF(AND(INDEX(#REF!,$A711)="Materials",LEN(INDEX(#REF!,$A711))&gt;0),$B$184,"")</f>
        <v>#REF!</v>
      </c>
      <c r="H711" s="113" t="e">
        <f>IF(AND(INDEX(#REF!,$A711)&gt;0,LEN(INDEX(#REF!,$A711))=0),$B$175,"")</f>
        <v>#REF!</v>
      </c>
      <c r="I711" s="113" t="e">
        <f>IF(AND(INDEX(#REF!,$A711)&gt;0,LEN(INDEX(#REF!,$A711))=0),$B$176,"")</f>
        <v>#REF!</v>
      </c>
    </row>
    <row r="712" spans="1:9" ht="12" customHeight="1" x14ac:dyDescent="0.35">
      <c r="A712" s="256">
        <v>90</v>
      </c>
      <c r="B712" s="113" t="str">
        <f t="array" ref="B712">IFERROR(INDEX(comb_notes_inkind[[#This Row],[Empty line]:[No organisation name]],1,MATCH(TRUE,LEN(comb_notes_inkind[[#This Row],[Empty line]:[No organisation name]])&gt;0,0)),"")</f>
        <v/>
      </c>
      <c r="C712" s="113" t="str">
        <f>IFERROR(IF(AND(LEN(INDEX(#REF!,$A712))+LEN(INDEX(#REF!,$A712))+LEN(INDEX(#REF!,$A712))+LEN(INDEX(#REF!,$A712))&gt;0,LEN(INDEX(#REF!,$A712-1))+LEN(INDEX(#REF!,$A712-1))+LEN(INDEX(#REF!,$A712-1))+LEN(INDEX(#REF!,$A712-1))=0),$B$127,""),"")</f>
        <v/>
      </c>
      <c r="D712" s="113" t="e">
        <f>IF(AND(INDEX(#REF!,$A712)&gt;0,LEN(INDEX(#REF!,$A712))=0,cofunding_inkind_def_rates="yes"),$B$183,"")</f>
        <v>#REF!</v>
      </c>
      <c r="E712" s="113" t="e">
        <f>IF(AND(INDEX(#REF!,$A712)&gt;0,LEN(INDEX(#REF!,$A712))=0,cofunding_inkind_def_rates="yes"),$B$183,"")</f>
        <v>#REF!</v>
      </c>
      <c r="F712" s="113" t="e">
        <f>IF(AND(INDEX(#REF!,$A712)="Junior",INDEX(#REF!,$A712)&gt;cofunding_junior_rate),$B$186,IF(AND(INDEX(#REF!,$A712)="Senior",INDEX(#REF!,$A712)&gt;cofunding_senior_rate),$B$187,""))</f>
        <v>#REF!</v>
      </c>
      <c r="G712" s="113" t="e">
        <f>IF(AND(INDEX(#REF!,$A712)="Materials",LEN(INDEX(#REF!,$A712))&gt;0),$B$184,"")</f>
        <v>#REF!</v>
      </c>
      <c r="H712" s="113" t="e">
        <f>IF(AND(INDEX(#REF!,$A712)&gt;0,LEN(INDEX(#REF!,$A712))=0),$B$175,"")</f>
        <v>#REF!</v>
      </c>
      <c r="I712" s="113" t="e">
        <f>IF(AND(INDEX(#REF!,$A712)&gt;0,LEN(INDEX(#REF!,$A712))=0),$B$176,"")</f>
        <v>#REF!</v>
      </c>
    </row>
    <row r="713" spans="1:9" ht="12" customHeight="1" x14ac:dyDescent="0.35">
      <c r="A713" s="256">
        <v>91</v>
      </c>
      <c r="B713" s="113" t="str">
        <f t="array" ref="B713">IFERROR(INDEX(comb_notes_inkind[[#This Row],[Empty line]:[No organisation name]],1,MATCH(TRUE,LEN(comb_notes_inkind[[#This Row],[Empty line]:[No organisation name]])&gt;0,0)),"")</f>
        <v/>
      </c>
      <c r="C713" s="113" t="str">
        <f>IFERROR(IF(AND(LEN(INDEX(#REF!,$A713))+LEN(INDEX(#REF!,$A713))+LEN(INDEX(#REF!,$A713))+LEN(INDEX(#REF!,$A713))&gt;0,LEN(INDEX(#REF!,$A713-1))+LEN(INDEX(#REF!,$A713-1))+LEN(INDEX(#REF!,$A713-1))+LEN(INDEX(#REF!,$A713-1))=0),$B$127,""),"")</f>
        <v/>
      </c>
      <c r="D713" s="113" t="e">
        <f>IF(AND(INDEX(#REF!,$A713)&gt;0,LEN(INDEX(#REF!,$A713))=0,cofunding_inkind_def_rates="yes"),$B$183,"")</f>
        <v>#REF!</v>
      </c>
      <c r="E713" s="113" t="e">
        <f>IF(AND(INDEX(#REF!,$A713)&gt;0,LEN(INDEX(#REF!,$A713))=0,cofunding_inkind_def_rates="yes"),$B$183,"")</f>
        <v>#REF!</v>
      </c>
      <c r="F713" s="113" t="e">
        <f>IF(AND(INDEX(#REF!,$A713)="Junior",INDEX(#REF!,$A713)&gt;cofunding_junior_rate),$B$186,IF(AND(INDEX(#REF!,$A713)="Senior",INDEX(#REF!,$A713)&gt;cofunding_senior_rate),$B$187,""))</f>
        <v>#REF!</v>
      </c>
      <c r="G713" s="113" t="e">
        <f>IF(AND(INDEX(#REF!,$A713)="Materials",LEN(INDEX(#REF!,$A713))&gt;0),$B$184,"")</f>
        <v>#REF!</v>
      </c>
      <c r="H713" s="113" t="e">
        <f>IF(AND(INDEX(#REF!,$A713)&gt;0,LEN(INDEX(#REF!,$A713))=0),$B$175,"")</f>
        <v>#REF!</v>
      </c>
      <c r="I713" s="113" t="e">
        <f>IF(AND(INDEX(#REF!,$A713)&gt;0,LEN(INDEX(#REF!,$A713))=0),$B$176,"")</f>
        <v>#REF!</v>
      </c>
    </row>
    <row r="714" spans="1:9" ht="12" customHeight="1" x14ac:dyDescent="0.35">
      <c r="A714" s="256">
        <v>92</v>
      </c>
      <c r="B714" s="113" t="str">
        <f t="array" ref="B714">IFERROR(INDEX(comb_notes_inkind[[#This Row],[Empty line]:[No organisation name]],1,MATCH(TRUE,LEN(comb_notes_inkind[[#This Row],[Empty line]:[No organisation name]])&gt;0,0)),"")</f>
        <v/>
      </c>
      <c r="C714" s="113" t="str">
        <f>IFERROR(IF(AND(LEN(INDEX(#REF!,$A714))+LEN(INDEX(#REF!,$A714))+LEN(INDEX(#REF!,$A714))+LEN(INDEX(#REF!,$A714))&gt;0,LEN(INDEX(#REF!,$A714-1))+LEN(INDEX(#REF!,$A714-1))+LEN(INDEX(#REF!,$A714-1))+LEN(INDEX(#REF!,$A714-1))=0),$B$127,""),"")</f>
        <v/>
      </c>
      <c r="D714" s="113" t="e">
        <f>IF(AND(INDEX(#REF!,$A714)&gt;0,LEN(INDEX(#REF!,$A714))=0,cofunding_inkind_def_rates="yes"),$B$183,"")</f>
        <v>#REF!</v>
      </c>
      <c r="E714" s="113" t="e">
        <f>IF(AND(INDEX(#REF!,$A714)&gt;0,LEN(INDEX(#REF!,$A714))=0,cofunding_inkind_def_rates="yes"),$B$183,"")</f>
        <v>#REF!</v>
      </c>
      <c r="F714" s="113" t="e">
        <f>IF(AND(INDEX(#REF!,$A714)="Junior",INDEX(#REF!,$A714)&gt;cofunding_junior_rate),$B$186,IF(AND(INDEX(#REF!,$A714)="Senior",INDEX(#REF!,$A714)&gt;cofunding_senior_rate),$B$187,""))</f>
        <v>#REF!</v>
      </c>
      <c r="G714" s="113" t="e">
        <f>IF(AND(INDEX(#REF!,$A714)="Materials",LEN(INDEX(#REF!,$A714))&gt;0),$B$184,"")</f>
        <v>#REF!</v>
      </c>
      <c r="H714" s="113" t="e">
        <f>IF(AND(INDEX(#REF!,$A714)&gt;0,LEN(INDEX(#REF!,$A714))=0),$B$175,"")</f>
        <v>#REF!</v>
      </c>
      <c r="I714" s="113" t="e">
        <f>IF(AND(INDEX(#REF!,$A714)&gt;0,LEN(INDEX(#REF!,$A714))=0),$B$176,"")</f>
        <v>#REF!</v>
      </c>
    </row>
    <row r="715" spans="1:9" ht="12" customHeight="1" x14ac:dyDescent="0.35">
      <c r="A715" s="256">
        <v>93</v>
      </c>
      <c r="B715" s="113" t="str">
        <f t="array" ref="B715">IFERROR(INDEX(comb_notes_inkind[[#This Row],[Empty line]:[No organisation name]],1,MATCH(TRUE,LEN(comb_notes_inkind[[#This Row],[Empty line]:[No organisation name]])&gt;0,0)),"")</f>
        <v/>
      </c>
      <c r="C715" s="113" t="str">
        <f>IFERROR(IF(AND(LEN(INDEX(#REF!,$A715))+LEN(INDEX(#REF!,$A715))+LEN(INDEX(#REF!,$A715))+LEN(INDEX(#REF!,$A715))&gt;0,LEN(INDEX(#REF!,$A715-1))+LEN(INDEX(#REF!,$A715-1))+LEN(INDEX(#REF!,$A715-1))+LEN(INDEX(#REF!,$A715-1))=0),$B$127,""),"")</f>
        <v/>
      </c>
      <c r="D715" s="113" t="e">
        <f>IF(AND(INDEX(#REF!,$A715)&gt;0,LEN(INDEX(#REF!,$A715))=0,cofunding_inkind_def_rates="yes"),$B$183,"")</f>
        <v>#REF!</v>
      </c>
      <c r="E715" s="113" t="e">
        <f>IF(AND(INDEX(#REF!,$A715)&gt;0,LEN(INDEX(#REF!,$A715))=0,cofunding_inkind_def_rates="yes"),$B$183,"")</f>
        <v>#REF!</v>
      </c>
      <c r="F715" s="113" t="e">
        <f>IF(AND(INDEX(#REF!,$A715)="Junior",INDEX(#REF!,$A715)&gt;cofunding_junior_rate),$B$186,IF(AND(INDEX(#REF!,$A715)="Senior",INDEX(#REF!,$A715)&gt;cofunding_senior_rate),$B$187,""))</f>
        <v>#REF!</v>
      </c>
      <c r="G715" s="113" t="e">
        <f>IF(AND(INDEX(#REF!,$A715)="Materials",LEN(INDEX(#REF!,$A715))&gt;0),$B$184,"")</f>
        <v>#REF!</v>
      </c>
      <c r="H715" s="113" t="e">
        <f>IF(AND(INDEX(#REF!,$A715)&gt;0,LEN(INDEX(#REF!,$A715))=0),$B$175,"")</f>
        <v>#REF!</v>
      </c>
      <c r="I715" s="113" t="e">
        <f>IF(AND(INDEX(#REF!,$A715)&gt;0,LEN(INDEX(#REF!,$A715))=0),$B$176,"")</f>
        <v>#REF!</v>
      </c>
    </row>
    <row r="716" spans="1:9" ht="12" customHeight="1" x14ac:dyDescent="0.35">
      <c r="A716" s="256">
        <v>94</v>
      </c>
      <c r="B716" s="113" t="str">
        <f t="array" ref="B716">IFERROR(INDEX(comb_notes_inkind[[#This Row],[Empty line]:[No organisation name]],1,MATCH(TRUE,LEN(comb_notes_inkind[[#This Row],[Empty line]:[No organisation name]])&gt;0,0)),"")</f>
        <v/>
      </c>
      <c r="C716" s="113" t="str">
        <f>IFERROR(IF(AND(LEN(INDEX(#REF!,$A716))+LEN(INDEX(#REF!,$A716))+LEN(INDEX(#REF!,$A716))+LEN(INDEX(#REF!,$A716))&gt;0,LEN(INDEX(#REF!,$A716-1))+LEN(INDEX(#REF!,$A716-1))+LEN(INDEX(#REF!,$A716-1))+LEN(INDEX(#REF!,$A716-1))=0),$B$127,""),"")</f>
        <v/>
      </c>
      <c r="D716" s="113" t="e">
        <f>IF(AND(INDEX(#REF!,$A716)&gt;0,LEN(INDEX(#REF!,$A716))=0,cofunding_inkind_def_rates="yes"),$B$183,"")</f>
        <v>#REF!</v>
      </c>
      <c r="E716" s="113" t="e">
        <f>IF(AND(INDEX(#REF!,$A716)&gt;0,LEN(INDEX(#REF!,$A716))=0,cofunding_inkind_def_rates="yes"),$B$183,"")</f>
        <v>#REF!</v>
      </c>
      <c r="F716" s="113" t="e">
        <f>IF(AND(INDEX(#REF!,$A716)="Junior",INDEX(#REF!,$A716)&gt;cofunding_junior_rate),$B$186,IF(AND(INDEX(#REF!,$A716)="Senior",INDEX(#REF!,$A716)&gt;cofunding_senior_rate),$B$187,""))</f>
        <v>#REF!</v>
      </c>
      <c r="G716" s="113" t="e">
        <f>IF(AND(INDEX(#REF!,$A716)="Materials",LEN(INDEX(#REF!,$A716))&gt;0),$B$184,"")</f>
        <v>#REF!</v>
      </c>
      <c r="H716" s="113" t="e">
        <f>IF(AND(INDEX(#REF!,$A716)&gt;0,LEN(INDEX(#REF!,$A716))=0),$B$175,"")</f>
        <v>#REF!</v>
      </c>
      <c r="I716" s="113" t="e">
        <f>IF(AND(INDEX(#REF!,$A716)&gt;0,LEN(INDEX(#REF!,$A716))=0),$B$176,"")</f>
        <v>#REF!</v>
      </c>
    </row>
    <row r="717" spans="1:9" ht="12" customHeight="1" x14ac:dyDescent="0.35">
      <c r="A717" s="256">
        <v>95</v>
      </c>
      <c r="B717" s="113" t="str">
        <f t="array" ref="B717">IFERROR(INDEX(comb_notes_inkind[[#This Row],[Empty line]:[No organisation name]],1,MATCH(TRUE,LEN(comb_notes_inkind[[#This Row],[Empty line]:[No organisation name]])&gt;0,0)),"")</f>
        <v/>
      </c>
      <c r="C717" s="113" t="str">
        <f>IFERROR(IF(AND(LEN(INDEX(#REF!,$A717))+LEN(INDEX(#REF!,$A717))+LEN(INDEX(#REF!,$A717))+LEN(INDEX(#REF!,$A717))&gt;0,LEN(INDEX(#REF!,$A717-1))+LEN(INDEX(#REF!,$A717-1))+LEN(INDEX(#REF!,$A717-1))+LEN(INDEX(#REF!,$A717-1))=0),$B$127,""),"")</f>
        <v/>
      </c>
      <c r="D717" s="113" t="e">
        <f>IF(AND(INDEX(#REF!,$A717)&gt;0,LEN(INDEX(#REF!,$A717))=0,cofunding_inkind_def_rates="yes"),$B$183,"")</f>
        <v>#REF!</v>
      </c>
      <c r="E717" s="113" t="e">
        <f>IF(AND(INDEX(#REF!,$A717)&gt;0,LEN(INDEX(#REF!,$A717))=0,cofunding_inkind_def_rates="yes"),$B$183,"")</f>
        <v>#REF!</v>
      </c>
      <c r="F717" s="113" t="e">
        <f>IF(AND(INDEX(#REF!,$A717)="Junior",INDEX(#REF!,$A717)&gt;cofunding_junior_rate),$B$186,IF(AND(INDEX(#REF!,$A717)="Senior",INDEX(#REF!,$A717)&gt;cofunding_senior_rate),$B$187,""))</f>
        <v>#REF!</v>
      </c>
      <c r="G717" s="113" t="e">
        <f>IF(AND(INDEX(#REF!,$A717)="Materials",LEN(INDEX(#REF!,$A717))&gt;0),$B$184,"")</f>
        <v>#REF!</v>
      </c>
      <c r="H717" s="113" t="e">
        <f>IF(AND(INDEX(#REF!,$A717)&gt;0,LEN(INDEX(#REF!,$A717))=0),$B$175,"")</f>
        <v>#REF!</v>
      </c>
      <c r="I717" s="113" t="e">
        <f>IF(AND(INDEX(#REF!,$A717)&gt;0,LEN(INDEX(#REF!,$A717))=0),$B$176,"")</f>
        <v>#REF!</v>
      </c>
    </row>
    <row r="718" spans="1:9" ht="12" customHeight="1" x14ac:dyDescent="0.35">
      <c r="A718" s="256">
        <v>96</v>
      </c>
      <c r="B718" s="113" t="str">
        <f t="array" ref="B718">IFERROR(INDEX(comb_notes_inkind[[#This Row],[Empty line]:[No organisation name]],1,MATCH(TRUE,LEN(comb_notes_inkind[[#This Row],[Empty line]:[No organisation name]])&gt;0,0)),"")</f>
        <v/>
      </c>
      <c r="C718" s="113" t="str">
        <f>IFERROR(IF(AND(LEN(INDEX(#REF!,$A718))+LEN(INDEX(#REF!,$A718))+LEN(INDEX(#REF!,$A718))+LEN(INDEX(#REF!,$A718))&gt;0,LEN(INDEX(#REF!,$A718-1))+LEN(INDEX(#REF!,$A718-1))+LEN(INDEX(#REF!,$A718-1))+LEN(INDEX(#REF!,$A718-1))=0),$B$127,""),"")</f>
        <v/>
      </c>
      <c r="D718" s="113" t="e">
        <f>IF(AND(INDEX(#REF!,$A718)&gt;0,LEN(INDEX(#REF!,$A718))=0,cofunding_inkind_def_rates="yes"),$B$183,"")</f>
        <v>#REF!</v>
      </c>
      <c r="E718" s="113" t="e">
        <f>IF(AND(INDEX(#REF!,$A718)&gt;0,LEN(INDEX(#REF!,$A718))=0,cofunding_inkind_def_rates="yes"),$B$183,"")</f>
        <v>#REF!</v>
      </c>
      <c r="F718" s="113" t="e">
        <f>IF(AND(INDEX(#REF!,$A718)="Junior",INDEX(#REF!,$A718)&gt;cofunding_junior_rate),$B$186,IF(AND(INDEX(#REF!,$A718)="Senior",INDEX(#REF!,$A718)&gt;cofunding_senior_rate),$B$187,""))</f>
        <v>#REF!</v>
      </c>
      <c r="G718" s="113" t="e">
        <f>IF(AND(INDEX(#REF!,$A718)="Materials",LEN(INDEX(#REF!,$A718))&gt;0),$B$184,"")</f>
        <v>#REF!</v>
      </c>
      <c r="H718" s="113" t="e">
        <f>IF(AND(INDEX(#REF!,$A718)&gt;0,LEN(INDEX(#REF!,$A718))=0),$B$175,"")</f>
        <v>#REF!</v>
      </c>
      <c r="I718" s="113" t="e">
        <f>IF(AND(INDEX(#REF!,$A718)&gt;0,LEN(INDEX(#REF!,$A718))=0),$B$176,"")</f>
        <v>#REF!</v>
      </c>
    </row>
    <row r="719" spans="1:9" ht="12" customHeight="1" x14ac:dyDescent="0.35">
      <c r="A719" s="256">
        <v>97</v>
      </c>
      <c r="B719" s="113" t="str">
        <f t="array" ref="B719">IFERROR(INDEX(comb_notes_inkind[[#This Row],[Empty line]:[No organisation name]],1,MATCH(TRUE,LEN(comb_notes_inkind[[#This Row],[Empty line]:[No organisation name]])&gt;0,0)),"")</f>
        <v/>
      </c>
      <c r="C719" s="113" t="str">
        <f>IFERROR(IF(AND(LEN(INDEX(#REF!,$A719))+LEN(INDEX(#REF!,$A719))+LEN(INDEX(#REF!,$A719))+LEN(INDEX(#REF!,$A719))&gt;0,LEN(INDEX(#REF!,$A719-1))+LEN(INDEX(#REF!,$A719-1))+LEN(INDEX(#REF!,$A719-1))+LEN(INDEX(#REF!,$A719-1))=0),$B$127,""),"")</f>
        <v/>
      </c>
      <c r="D719" s="113" t="e">
        <f>IF(AND(INDEX(#REF!,$A719)&gt;0,LEN(INDEX(#REF!,$A719))=0,cofunding_inkind_def_rates="yes"),$B$183,"")</f>
        <v>#REF!</v>
      </c>
      <c r="E719" s="113" t="e">
        <f>IF(AND(INDEX(#REF!,$A719)&gt;0,LEN(INDEX(#REF!,$A719))=0,cofunding_inkind_def_rates="yes"),$B$183,"")</f>
        <v>#REF!</v>
      </c>
      <c r="F719" s="113" t="e">
        <f>IF(AND(INDEX(#REF!,$A719)="Junior",INDEX(#REF!,$A719)&gt;cofunding_junior_rate),$B$186,IF(AND(INDEX(#REF!,$A719)="Senior",INDEX(#REF!,$A719)&gt;cofunding_senior_rate),$B$187,""))</f>
        <v>#REF!</v>
      </c>
      <c r="G719" s="113" t="e">
        <f>IF(AND(INDEX(#REF!,$A719)="Materials",LEN(INDEX(#REF!,$A719))&gt;0),$B$184,"")</f>
        <v>#REF!</v>
      </c>
      <c r="H719" s="113" t="e">
        <f>IF(AND(INDEX(#REF!,$A719)&gt;0,LEN(INDEX(#REF!,$A719))=0),$B$175,"")</f>
        <v>#REF!</v>
      </c>
      <c r="I719" s="113" t="e">
        <f>IF(AND(INDEX(#REF!,$A719)&gt;0,LEN(INDEX(#REF!,$A719))=0),$B$176,"")</f>
        <v>#REF!</v>
      </c>
    </row>
    <row r="720" spans="1:9" ht="12" customHeight="1" x14ac:dyDescent="0.35">
      <c r="A720" s="256">
        <v>98</v>
      </c>
      <c r="B720" s="113" t="str">
        <f t="array" ref="B720">IFERROR(INDEX(comb_notes_inkind[[#This Row],[Empty line]:[No organisation name]],1,MATCH(TRUE,LEN(comb_notes_inkind[[#This Row],[Empty line]:[No organisation name]])&gt;0,0)),"")</f>
        <v/>
      </c>
      <c r="C720" s="113" t="str">
        <f>IFERROR(IF(AND(LEN(INDEX(#REF!,$A720))+LEN(INDEX(#REF!,$A720))+LEN(INDEX(#REF!,$A720))+LEN(INDEX(#REF!,$A720))&gt;0,LEN(INDEX(#REF!,$A720-1))+LEN(INDEX(#REF!,$A720-1))+LEN(INDEX(#REF!,$A720-1))+LEN(INDEX(#REF!,$A720-1))=0),$B$127,""),"")</f>
        <v/>
      </c>
      <c r="D720" s="113" t="e">
        <f>IF(AND(INDEX(#REF!,$A720)&gt;0,LEN(INDEX(#REF!,$A720))=0,cofunding_inkind_def_rates="yes"),$B$183,"")</f>
        <v>#REF!</v>
      </c>
      <c r="E720" s="113" t="e">
        <f>IF(AND(INDEX(#REF!,$A720)&gt;0,LEN(INDEX(#REF!,$A720))=0,cofunding_inkind_def_rates="yes"),$B$183,"")</f>
        <v>#REF!</v>
      </c>
      <c r="F720" s="113" t="e">
        <f>IF(AND(INDEX(#REF!,$A720)="Junior",INDEX(#REF!,$A720)&gt;cofunding_junior_rate),$B$186,IF(AND(INDEX(#REF!,$A720)="Senior",INDEX(#REF!,$A720)&gt;cofunding_senior_rate),$B$187,""))</f>
        <v>#REF!</v>
      </c>
      <c r="G720" s="113" t="e">
        <f>IF(AND(INDEX(#REF!,$A720)="Materials",LEN(INDEX(#REF!,$A720))&gt;0),$B$184,"")</f>
        <v>#REF!</v>
      </c>
      <c r="H720" s="113" t="e">
        <f>IF(AND(INDEX(#REF!,$A720)&gt;0,LEN(INDEX(#REF!,$A720))=0),$B$175,"")</f>
        <v>#REF!</v>
      </c>
      <c r="I720" s="113" t="e">
        <f>IF(AND(INDEX(#REF!,$A720)&gt;0,LEN(INDEX(#REF!,$A720))=0),$B$176,"")</f>
        <v>#REF!</v>
      </c>
    </row>
    <row r="721" spans="1:9" ht="12" customHeight="1" x14ac:dyDescent="0.35">
      <c r="A721" s="256">
        <v>99</v>
      </c>
      <c r="B721" s="113" t="str">
        <f t="array" ref="B721">IFERROR(INDEX(comb_notes_inkind[[#This Row],[Empty line]:[No organisation name]],1,MATCH(TRUE,LEN(comb_notes_inkind[[#This Row],[Empty line]:[No organisation name]])&gt;0,0)),"")</f>
        <v/>
      </c>
      <c r="C721" s="113" t="str">
        <f>IFERROR(IF(AND(LEN(INDEX(#REF!,$A721))+LEN(INDEX(#REF!,$A721))+LEN(INDEX(#REF!,$A721))+LEN(INDEX(#REF!,$A721))&gt;0,LEN(INDEX(#REF!,$A721-1))+LEN(INDEX(#REF!,$A721-1))+LEN(INDEX(#REF!,$A721-1))+LEN(INDEX(#REF!,$A721-1))=0),$B$127,""),"")</f>
        <v/>
      </c>
      <c r="D721" s="113" t="e">
        <f>IF(AND(INDEX(#REF!,$A721)&gt;0,LEN(INDEX(#REF!,$A721))=0,cofunding_inkind_def_rates="yes"),$B$183,"")</f>
        <v>#REF!</v>
      </c>
      <c r="E721" s="113" t="e">
        <f>IF(AND(INDEX(#REF!,$A721)&gt;0,LEN(INDEX(#REF!,$A721))=0,cofunding_inkind_def_rates="yes"),$B$183,"")</f>
        <v>#REF!</v>
      </c>
      <c r="F721" s="113" t="e">
        <f>IF(AND(INDEX(#REF!,$A721)="Junior",INDEX(#REF!,$A721)&gt;cofunding_junior_rate),$B$186,IF(AND(INDEX(#REF!,$A721)="Senior",INDEX(#REF!,$A721)&gt;cofunding_senior_rate),$B$187,""))</f>
        <v>#REF!</v>
      </c>
      <c r="G721" s="113" t="e">
        <f>IF(AND(INDEX(#REF!,$A721)="Materials",LEN(INDEX(#REF!,$A721))&gt;0),$B$184,"")</f>
        <v>#REF!</v>
      </c>
      <c r="H721" s="113" t="e">
        <f>IF(AND(INDEX(#REF!,$A721)&gt;0,LEN(INDEX(#REF!,$A721))=0),$B$175,"")</f>
        <v>#REF!</v>
      </c>
      <c r="I721" s="113" t="e">
        <f>IF(AND(INDEX(#REF!,$A721)&gt;0,LEN(INDEX(#REF!,$A721))=0),$B$176,"")</f>
        <v>#REF!</v>
      </c>
    </row>
    <row r="722" spans="1:9" ht="12" customHeight="1" x14ac:dyDescent="0.35">
      <c r="A722" s="256">
        <v>100</v>
      </c>
      <c r="B722" s="113" t="str">
        <f t="array" ref="B722">IFERROR(INDEX(comb_notes_inkind[[#This Row],[Empty line]:[No organisation name]],1,MATCH(TRUE,LEN(comb_notes_inkind[[#This Row],[Empty line]:[No organisation name]])&gt;0,0)),"")</f>
        <v/>
      </c>
      <c r="C722" s="113" t="str">
        <f>IFERROR(IF(AND(LEN(INDEX(#REF!,$A722))+LEN(INDEX(#REF!,$A722))+LEN(INDEX(#REF!,$A722))+LEN(INDEX(#REF!,$A722))&gt;0,LEN(INDEX(#REF!,$A722-1))+LEN(INDEX(#REF!,$A722-1))+LEN(INDEX(#REF!,$A722-1))+LEN(INDEX(#REF!,$A722-1))=0),$B$127,""),"")</f>
        <v/>
      </c>
      <c r="D722" s="113" t="e">
        <f>IF(AND(INDEX(#REF!,$A722)&gt;0,LEN(INDEX(#REF!,$A722))=0,cofunding_inkind_def_rates="yes"),$B$183,"")</f>
        <v>#REF!</v>
      </c>
      <c r="E722" s="113" t="e">
        <f>IF(AND(INDEX(#REF!,$A722)&gt;0,LEN(INDEX(#REF!,$A722))=0,cofunding_inkind_def_rates="yes"),$B$183,"")</f>
        <v>#REF!</v>
      </c>
      <c r="F722" s="113" t="e">
        <f>IF(AND(INDEX(#REF!,$A722)="Junior",INDEX(#REF!,$A722)&gt;cofunding_junior_rate),$B$186,IF(AND(INDEX(#REF!,$A722)="Senior",INDEX(#REF!,$A722)&gt;cofunding_senior_rate),$B$187,""))</f>
        <v>#REF!</v>
      </c>
      <c r="G722" s="113" t="e">
        <f>IF(AND(INDEX(#REF!,$A722)="Materials",LEN(INDEX(#REF!,$A722))&gt;0),$B$184,"")</f>
        <v>#REF!</v>
      </c>
      <c r="H722" s="113" t="e">
        <f>IF(AND(INDEX(#REF!,$A722)&gt;0,LEN(INDEX(#REF!,$A722))=0),$B$175,"")</f>
        <v>#REF!</v>
      </c>
      <c r="I722" s="113" t="e">
        <f>IF(AND(INDEX(#REF!,$A722)&gt;0,LEN(INDEX(#REF!,$A722))=0),$B$176,"")</f>
        <v>#REF!</v>
      </c>
    </row>
    <row r="723" spans="1:9" ht="12" customHeight="1" x14ac:dyDescent="0.45">
      <c r="A723" s="124"/>
    </row>
    <row r="724" spans="1:9" ht="12" customHeight="1" x14ac:dyDescent="0.45">
      <c r="A724" s="124"/>
    </row>
    <row r="725" spans="1:9" ht="12" customHeight="1" x14ac:dyDescent="0.45">
      <c r="A725" s="124"/>
    </row>
    <row r="726" spans="1:9" ht="12" customHeight="1" x14ac:dyDescent="0.45">
      <c r="A726" s="124"/>
    </row>
    <row r="727" spans="1:9" ht="12" customHeight="1" x14ac:dyDescent="0.35"/>
    <row r="728" spans="1:9" ht="12" customHeight="1" x14ac:dyDescent="0.35"/>
    <row r="729" spans="1:9" ht="12" customHeight="1" x14ac:dyDescent="0.35"/>
    <row r="730" spans="1:9" ht="12" customHeight="1" x14ac:dyDescent="0.35"/>
    <row r="731" spans="1:9" ht="12" customHeight="1" x14ac:dyDescent="0.35"/>
    <row r="732" spans="1:9" ht="12" customHeight="1" x14ac:dyDescent="0.35"/>
    <row r="733" spans="1:9" ht="12" customHeight="1" x14ac:dyDescent="0.35"/>
    <row r="734" spans="1:9" ht="12" customHeight="1" x14ac:dyDescent="0.35"/>
    <row r="735" spans="1:9" ht="12" customHeight="1" x14ac:dyDescent="0.35"/>
    <row r="736" spans="1:9" ht="12" customHeight="1" x14ac:dyDescent="0.35"/>
    <row r="737" spans="1:5" ht="12" customHeight="1" x14ac:dyDescent="0.35"/>
    <row r="738" spans="1:5" ht="12" customHeight="1" x14ac:dyDescent="0.35"/>
    <row r="739" spans="1:5" ht="12" customHeight="1" x14ac:dyDescent="0.35"/>
    <row r="740" spans="1:5" ht="12" customHeight="1" x14ac:dyDescent="0.35"/>
    <row r="741" spans="1:5" ht="12" customHeight="1" x14ac:dyDescent="0.35"/>
    <row r="742" spans="1:5" ht="18.5" x14ac:dyDescent="0.45">
      <c r="A742" s="124" t="s">
        <v>745</v>
      </c>
    </row>
    <row r="744" spans="1:5" x14ac:dyDescent="0.35">
      <c r="A744" s="113" t="s">
        <v>576</v>
      </c>
      <c r="B744" s="113" t="s">
        <v>746</v>
      </c>
      <c r="C744" s="113" t="s">
        <v>747</v>
      </c>
      <c r="D744" s="113" t="s">
        <v>749</v>
      </c>
      <c r="E744" s="113" t="s">
        <v>748</v>
      </c>
    </row>
    <row r="745" spans="1:5" x14ac:dyDescent="0.35">
      <c r="A745" s="113" t="e">
        <f>cofunding_comb_notes[too less - no threshold]&amp;cofunding_comb_notes[too less - incl threshold]&amp;cofunding_comb_notes[private part too low]&amp;cofunding_comb_notes[too much]</f>
        <v>#REF!</v>
      </c>
      <c r="B745" s="113" t="e">
        <f>IF(AND(cofunding_threshold=0,Total_cofunding&lt;cofunding_min_perc*Total_project_budget),$B$190,"")</f>
        <v>#REF!</v>
      </c>
      <c r="C745" s="113" t="e">
        <f>IF(AND(cofunding_threshold&gt;0,Total_cofunding&lt;cofunding_min_perc*(Total_project_budget-cofunding_threshold)),$B$189,"")</f>
        <v>#REF!</v>
      </c>
      <c r="D745" s="113" t="str">
        <f>IFERROR(IF(AND(total_private_cof&lt;cofunding_private_minperc*Total_project_budget,cofunding_comb_notes[too less - no threshold]="",cofunding_comb_notes[too less - incl threshold]=""),$B$191,""),"")</f>
        <v/>
      </c>
      <c r="E745" s="113" t="e">
        <f>IF(Total_cofunding&gt;cofunding_max_perc*Total_project_budget,B192,"")</f>
        <v>#REF!</v>
      </c>
    </row>
  </sheetData>
  <sheetProtection algorithmName="SHA-512" hashValue="VPsEnPnhn7gSEohXRZrHI7IpQ/YTAvPf8sE1Ngr/xCvvfUtkyLIc85ek2KEN1AKHyrW0U3OhWDGl177/Tm/AWg==" saltValue="X0Nk4TtSbNpi4OhsPRP3gg==" spinCount="100000" sheet="1" objects="1" scenarios="1"/>
  <pageMargins left="0.7" right="0.7" top="0.75" bottom="0.75" header="0.3" footer="0.3"/>
  <pageSetup paperSize="9" orientation="portrait" horizontalDpi="1200" verticalDpi="120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103</vt:i4>
      </vt:variant>
    </vt:vector>
  </HeadingPairs>
  <TitlesOfParts>
    <vt:vector size="107" baseType="lpstr">
      <vt:lpstr>Summary</vt:lpstr>
      <vt:lpstr>Budget</vt:lpstr>
      <vt:lpstr>parameters</vt:lpstr>
      <vt:lpstr>checks</vt:lpstr>
      <vt:lpstr>Budget!Afdrukbereik</vt:lpstr>
      <vt:lpstr>benchfee_amount</vt:lpstr>
      <vt:lpstr>callnaam</vt:lpstr>
      <vt:lpstr>cash_cofunding_minperc</vt:lpstr>
      <vt:lpstr>cash_invoice</vt:lpstr>
      <vt:lpstr>categories_pers_ac</vt:lpstr>
      <vt:lpstr>CfP_tariffs_other_inst</vt:lpstr>
      <vt:lpstr>cofunding_inkind_def_rates</vt:lpstr>
      <vt:lpstr>cofunding_junior_rate</vt:lpstr>
      <vt:lpstr>cofunding_max_perc</vt:lpstr>
      <vt:lpstr>cofunding_min_perc</vt:lpstr>
      <vt:lpstr>cofunding_private_minperc</vt:lpstr>
      <vt:lpstr>cofunding_senior_rate</vt:lpstr>
      <vt:lpstr>cofunding_threshold</vt:lpstr>
      <vt:lpstr>date</vt:lpstr>
      <vt:lpstr>empty_lines</vt:lpstr>
      <vt:lpstr>enddate</vt:lpstr>
      <vt:lpstr>file_creation_date</vt:lpstr>
      <vt:lpstr>File_number</vt:lpstr>
      <vt:lpstr>footer_MFC</vt:lpstr>
      <vt:lpstr>FTE_year_PhD_PD</vt:lpstr>
      <vt:lpstr>HOT_rate_type</vt:lpstr>
      <vt:lpstr>HOT_rates</vt:lpstr>
      <vt:lpstr>Int_maxamount</vt:lpstr>
      <vt:lpstr>Int_maxamount_perc</vt:lpstr>
      <vt:lpstr>Int_MfC_maxamount</vt:lpstr>
      <vt:lpstr>Int_MfC_maxperc</vt:lpstr>
      <vt:lpstr>inv_max_total_amount</vt:lpstr>
      <vt:lpstr>inv_min_perc_own_contr</vt:lpstr>
      <vt:lpstr>inv_min_total_amount</vt:lpstr>
      <vt:lpstr>inv_own_contribution</vt:lpstr>
      <vt:lpstr>KU_entrepeneurship_max_amount</vt:lpstr>
      <vt:lpstr>KU_entrepeneurship_minperc</vt:lpstr>
      <vt:lpstr>KU_max_amount</vt:lpstr>
      <vt:lpstr>KU_maxperc</vt:lpstr>
      <vt:lpstr>KU_minperc</vt:lpstr>
      <vt:lpstr>list_ac_other_combined</vt:lpstr>
      <vt:lpstr>list_academic_personnel</vt:lpstr>
      <vt:lpstr>list_kind_cash_cofunding</vt:lpstr>
      <vt:lpstr>list_personnel_other_inst</vt:lpstr>
      <vt:lpstr>Main_applicant</vt:lpstr>
      <vt:lpstr>main_applicant_organisation</vt:lpstr>
      <vt:lpstr>main_applicant_type_organisation</vt:lpstr>
      <vt:lpstr>mat_cleanroom_maxamount</vt:lpstr>
      <vt:lpstr>mat_cleanroom_minamount</vt:lpstr>
      <vt:lpstr>mat_costs_accountant</vt:lpstr>
      <vt:lpstr>Mat_max_FTE_year</vt:lpstr>
      <vt:lpstr>Mat_max_FTE_year_other_inst</vt:lpstr>
      <vt:lpstr>Max_mat_FTE_year</vt:lpstr>
      <vt:lpstr>Max_NWO_funding</vt:lpstr>
      <vt:lpstr>max_NWO_funding_with_inv_nature</vt:lpstr>
      <vt:lpstr>max_NWO_funding_wo_inv_nature</vt:lpstr>
      <vt:lpstr>Max_project_duration</vt:lpstr>
      <vt:lpstr>MfC_maxamount</vt:lpstr>
      <vt:lpstr>MfC_maxperc</vt:lpstr>
      <vt:lpstr>Min_NWO_funding</vt:lpstr>
      <vt:lpstr>NFU_rates</vt:lpstr>
      <vt:lpstr>notes</vt:lpstr>
      <vt:lpstr>organisation_name</vt:lpstr>
      <vt:lpstr>organisation_type</vt:lpstr>
      <vt:lpstr>pers_3yPhD_min_months</vt:lpstr>
      <vt:lpstr>pers_leave_maxduration</vt:lpstr>
      <vt:lpstr>pers_leave_maxperc</vt:lpstr>
      <vt:lpstr>pers_max_NSP</vt:lpstr>
      <vt:lpstr>pers_max_OSP</vt:lpstr>
      <vt:lpstr>pers_NSP_max_months</vt:lpstr>
      <vt:lpstr>pers_NSP_min_months</vt:lpstr>
      <vt:lpstr>pers_oi_min_months</vt:lpstr>
      <vt:lpstr>pers_oi_minFTE</vt:lpstr>
      <vt:lpstr>pers_OSP_max_months</vt:lpstr>
      <vt:lpstr>pers_OSP_min_months</vt:lpstr>
      <vt:lpstr>pers_other_nrhours_year</vt:lpstr>
      <vt:lpstr>pers_other_years_materials</vt:lpstr>
      <vt:lpstr>pers_PD_max_months</vt:lpstr>
      <vt:lpstr>pers_PD_min_months</vt:lpstr>
      <vt:lpstr>pers_PDEng_max_months</vt:lpstr>
      <vt:lpstr>pers_PhD_max_months</vt:lpstr>
      <vt:lpstr>pers_PhD_min_months</vt:lpstr>
      <vt:lpstr>prog_mngmt_max_amount_perc</vt:lpstr>
      <vt:lpstr>prog_mngmt_threshold_amount</vt:lpstr>
      <vt:lpstr>project_duration</vt:lpstr>
      <vt:lpstr>Project_title</vt:lpstr>
      <vt:lpstr>Research_leave_FTE_months</vt:lpstr>
      <vt:lpstr>row_cofunding</vt:lpstr>
      <vt:lpstr>startdate</vt:lpstr>
      <vt:lpstr>threshold_inv_nature</vt:lpstr>
      <vt:lpstr>threshold_own_contribution</vt:lpstr>
      <vt:lpstr>Total_cash_via_NWO</vt:lpstr>
      <vt:lpstr>Total_Fin_NWO</vt:lpstr>
      <vt:lpstr>Total_goods_services</vt:lpstr>
      <vt:lpstr>Total_implementation</vt:lpstr>
      <vt:lpstr>Total_material_costs</vt:lpstr>
      <vt:lpstr>Total_MfC</vt:lpstr>
      <vt:lpstr>Total_NSP</vt:lpstr>
      <vt:lpstr>Total_NWO_funding</vt:lpstr>
      <vt:lpstr>Total_OSP</vt:lpstr>
      <vt:lpstr>Total_other_inst_2021</vt:lpstr>
      <vt:lpstr>Total_personnel_costs</vt:lpstr>
      <vt:lpstr>total_private_cof</vt:lpstr>
      <vt:lpstr>total_private_cof_inkind</vt:lpstr>
      <vt:lpstr>Total_resources</vt:lpstr>
      <vt:lpstr>Total_travel_acc</vt:lpstr>
      <vt:lpstr>VSNU_rates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NWO</dc:creator>
  <cp:lastModifiedBy>Feldheim, A. [Aisse]</cp:lastModifiedBy>
  <cp:lastPrinted>2022-12-23T09:46:23Z</cp:lastPrinted>
  <dcterms:created xsi:type="dcterms:W3CDTF">2018-07-26T13:21:23Z</dcterms:created>
  <dcterms:modified xsi:type="dcterms:W3CDTF">2026-08-03T08:31:53Z</dcterms:modified>
</cp:coreProperties>
</file>